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4.xml.rels" ContentType="application/vnd.openxmlformats-package.relationships+xml"/>
  <Override PartName="/xl/drawings/_rels/drawing3.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Lists" sheetId="2" state="visible" r:id="rId4"/>
    <sheet name="Settings" sheetId="3" state="visible" r:id="rId5"/>
    <sheet name="Register" sheetId="4" state="visible" r:id="rId6"/>
    <sheet name="CAPA" sheetId="5" state="visible" r:id="rId7"/>
    <sheet name="Dashboard" sheetId="6" state="visible" r:id="rId8"/>
    <sheet name="Pareto" sheetId="7" state="visible" r:id="rId9"/>
    <sheet name="Trends" sheetId="8" state="visible" r:id="rId10"/>
    <sheet name="Authority" sheetId="9" state="visible" r:id="rId11"/>
  </sheets>
  <definedNames>
    <definedName function="false" hidden="true" localSheetId="4" name="_xlnm._FilterDatabase" vbProcedure="false">CAPA!$A$4:$T$104</definedName>
    <definedName function="false" hidden="true" localSheetId="3" name="_xlnm._FilterDatabase" vbProcedure="false">Register!$A$4:$AN$304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<sst xmlns="http://schemas.openxmlformats.org/spreadsheetml/2006/main" count="777" uniqueCount="466">
  <si>
    <t xml:space="preserve">COMPLAINT MANAGEMENT SYSTEM · V2.1</t>
  </si>
  <si>
    <t xml:space="preserve">ExperienceFirst · the register that answers executive questions</t>
  </si>
  <si>
    <t xml:space="preserve">BEFORE FIRST USE — 4 steps</t>
  </si>
  <si>
    <t xml:space="preserve">1. Settings</t>
  </si>
  <si>
    <t xml:space="preserve">Enter your own contact cost and customer value, and calibrate the churn probabilities. Until you do, every euro in this file is invented.</t>
  </si>
  <si>
    <t xml:space="preserve">2. Lists</t>
  </si>
  <si>
    <t xml:space="preserve">Replace the department, employee and root-cause lists with your own. This is the single source of taxonomy.</t>
  </si>
  <si>
    <t xml:space="preserve">3. Authority</t>
  </si>
  <si>
    <t xml:space="preserve">Review what an agent may decide alone. This sheet drives FCR more than training does.</t>
  </si>
  <si>
    <t xml:space="preserve">4. Register</t>
  </si>
  <si>
    <t xml:space="preserve">Select rows 5–16 → right-click → Delete rows. Do NOT use the Delete key: it would wipe the formulas, not just the demo data.</t>
  </si>
  <si>
    <t xml:space="preserve">WHO FILLS IN WHAT</t>
  </si>
  <si>
    <t xml:space="preserve">Agent (~2 min.)</t>
  </si>
  <si>
    <t xml:space="preserve">Register: teal columns B–O and AC–AD. At intake, no analysis. The agent records what the customer CLAIMS — not whether they are right.</t>
  </si>
  <si>
    <t xml:space="preserve">Manager / analyst</t>
  </si>
  <si>
    <t xml:space="preserve">Register: gold columns P–V, Y, AF–AH. The uphold decision, root cause and the three risk scores — this is where all the analytics and every euro come from.</t>
  </si>
  <si>
    <t xml:space="preserve">The system</t>
  </si>
  <si>
    <t xml:space="preserve">Grey columns: risk score, priority, cost, CAPA requirement, SLA. Do not edit — you will overwrite the formulas.</t>
  </si>
  <si>
    <t xml:space="preserve">Nobody</t>
  </si>
  <si>
    <t xml:space="preserve">Dashboard, Pareto, Trends. They calculate themselves. The only manual field is the yellow 'Manager comment' on the Trends sheet.</t>
  </si>
  <si>
    <t xml:space="preserve">THE THREE RULES THAT SEPARATE A REGISTER FROM A SYSTEM</t>
  </si>
  <si>
    <t xml:space="preserve">Correction ≠ CAPA</t>
  </si>
  <si>
    <t xml:space="preserve">Compensating a customer is a correction — it fixes the case. A corrective action changes the process so the case cannot recur. A case closed in the register with no CAPA record means the same complaint is coming back.</t>
  </si>
  <si>
    <t xml:space="preserve">Claim ≠ upheld</t>
  </si>
  <si>
    <t xml:space="preserve">The customer complains (H). The company decides whether they are right (P). Two separate fields, two people, two moments in time. Merge them and 96 % of the financial model rests on a 2-minute hunch.</t>
  </si>
  <si>
    <t xml:space="preserve">Closed ≠ solved</t>
  </si>
  <si>
    <t xml:space="preserve">A CAPA is closed only once column R confirms the cause has not recurred during the monitoring window. This is calculated automatically from the register. ISO 9001:2015 10.2.1 (d).</t>
  </si>
  <si>
    <t xml:space="preserve">HOW THE COST IS CALCULATED (COPQ)</t>
  </si>
  <si>
    <t xml:space="preserve">Direct cost</t>
  </si>
  <si>
    <t xml:space="preserve">Compensation, discounts, refunds — entered manually (column X).</t>
  </si>
  <si>
    <t xml:space="preserve">Service cost</t>
  </si>
  <si>
    <t xml:space="preserve">Number of contacts × cost per contact. This is Failure Demand: work that would not exist if the process worked.</t>
  </si>
  <si>
    <t xml:space="preserve">Revenue at risk</t>
  </si>
  <si>
    <t xml:space="preserve">Customer annual value × churn probability by severity. ONLY when P = 'Upheld'. This is an assumption, not a fact — calibrate it against your own churn data.</t>
  </si>
  <si>
    <t xml:space="preserve">What counts as upheld</t>
  </si>
  <si>
    <t xml:space="preserve">The company breached a commitment: a contract, an SLA, a published policy or an explicit promise. NOT: the customer is angry. NOT: the customer is important. This field (P) is filled by the analyst AFTER root cause analysis — not by the agent in 2 minutes. While P is blank or 'Under review', revenue at risk = 0.</t>
  </si>
  <si>
    <t xml:space="preserve">STANDARDS COVERAGE</t>
  </si>
  <si>
    <t xml:space="preserve">ISO 9001:2015 8.7 / 10.2</t>
  </si>
  <si>
    <t xml:space="preserve">Control of nonconformity and corrective action — CAPA sheet; the requirement is flagged automatically.</t>
  </si>
  <si>
    <t xml:space="preserve">ISO 9001:2015 10.2.1 (d)</t>
  </si>
  <si>
    <t xml:space="preserve">Review of corrective action effectiveness — CAPA sheet, columns O–R (automatic).</t>
  </si>
  <si>
    <t xml:space="preserve">ISO 10002</t>
  </si>
  <si>
    <t xml:space="preserve">Complaint intake, tracking, informing the customer of the outcome (Register AC), authority (Authority sheet).</t>
  </si>
  <si>
    <t xml:space="preserve">Lean Six Sigma</t>
  </si>
  <si>
    <t xml:space="preserve">Root cause analysis, 5 Whys (CAPA G), Pareto, Failure Demand (contact cost).</t>
  </si>
  <si>
    <t xml:space="preserve">FMEA</t>
  </si>
  <si>
    <t xml:space="preserve">Risk score = Severity × Occurrence × Detection, with a severity floor on top: Severity 5 is always “High”, Severity 4 never below “Medium”. Without the floor, multiplication hides the rare but critical case. AIAG-VDA (2019) replaced RPN with Action Priority for the same reason.</t>
  </si>
  <si>
    <t xml:space="preserve">PDCA</t>
  </si>
  <si>
    <t xml:space="preserve">Plan (CAPA I) → Do (N) → Check (O–R) → Act (status M).</t>
  </si>
  <si>
    <t xml:space="preserve">VoC / CXPA</t>
  </si>
  <si>
    <t xml:space="preserve">Not only complaints are logged, but feedback and suggestions too — the voice of the customer, not just the noise.</t>
  </si>
  <si>
    <t xml:space="preserve">ASSUMPTIONS YOU MUST CALIBRATE</t>
  </si>
  <si>
    <t xml:space="preserve">All financial figures</t>
  </si>
  <si>
    <t xml:space="preserve">Contact cost (12 €), customer value (2,000 €) and churn probabilities (1–40 %) are starting assumptions, not your data. Until you replace them, COPQ shows an order of magnitude, not an amount. Do not show this to a CFO before recalibrating.</t>
  </si>
  <si>
    <t xml:space="preserve">AUTHORSHIP AND TERMS OF USE</t>
  </si>
  <si>
    <t xml:space="preserve">Prepared by</t>
  </si>
  <si>
    <t xml:space="preserve">Ina Lakavičienė · ExperienceFirst</t>
  </si>
  <si>
    <t xml:space="preserve">Credentials</t>
  </si>
  <si>
    <t xml:space="preserve">CX Academy Professional Diploma with Distinction (2026) · 10+ years of customer experience practice across telecommunications, banking and healthcare.</t>
  </si>
  <si>
    <t xml:space="preserve">Contact</t>
  </si>
  <si>
    <t xml:space="preserve">experiencefirst.lt · ina@experiencefirst.lt</t>
  </si>
  <si>
    <t xml:space="preserve">Terms of use</t>
  </si>
  <si>
    <t xml:space="preserve">You may freely use, modify and adapt this file inside your own organisation. You may not resell it, distribute it as your own product, or remove the authorship. If you pass it to a colleague, pass the whole file — not individual sheets.</t>
  </si>
  <si>
    <t xml:space="preserve">Protection</t>
  </si>
  <si>
    <t xml:space="preserve">Sheets are protected without a password — so you do not overwrite the formulas by accident. Need to change the structure? Review → Unprotect Sheet.</t>
  </si>
  <si>
    <t xml:space="preserve">PICK LISTS · the single source of taxonomy</t>
  </si>
  <si>
    <t xml:space="preserve">Every dropdown value is edited here. After adding a value, extend the list range (Data → Data Validation). Do not rename values if the register already holds records using the old one: the summaries will silently stop counting them.</t>
  </si>
  <si>
    <t xml:space="preserve">Channel</t>
  </si>
  <si>
    <t xml:space="preserve">Segment</t>
  </si>
  <si>
    <t xml:space="preserve">Type</t>
  </si>
  <si>
    <t xml:space="preserve">Department</t>
  </si>
  <si>
    <t xml:space="preserve">Journey stage</t>
  </si>
  <si>
    <t xml:space="preserve">Problem category</t>
  </si>
  <si>
    <t xml:space="preserve">Employee</t>
  </si>
  <si>
    <t xml:space="preserve">Root cause</t>
  </si>
  <si>
    <t xml:space="preserve">Cause type</t>
  </si>
  <si>
    <t xml:space="preserve">Status</t>
  </si>
  <si>
    <t xml:space="preserve">Yes/No</t>
  </si>
  <si>
    <t xml:space="preserve">FCR</t>
  </si>
  <si>
    <t xml:space="preserve">Score 1-5</t>
  </si>
  <si>
    <t xml:space="preserve">Priority</t>
  </si>
  <si>
    <t xml:space="preserve">CAPA status</t>
  </si>
  <si>
    <t xml:space="preserve">Owner</t>
  </si>
  <si>
    <t xml:space="preserve">Uphold decision</t>
  </si>
  <si>
    <t xml:space="preserve">Email</t>
  </si>
  <si>
    <t xml:space="preserve">Strategic</t>
  </si>
  <si>
    <t xml:space="preserve">Complaint</t>
  </si>
  <si>
    <t xml:space="preserve">Sales</t>
  </si>
  <si>
    <t xml:space="preserve">Awareness</t>
  </si>
  <si>
    <t xml:space="preserve">Late delivery</t>
  </si>
  <si>
    <t xml:space="preserve">Agent 1</t>
  </si>
  <si>
    <t xml:space="preserve">Logistics partner SLA breach</t>
  </si>
  <si>
    <t xml:space="preserve">People</t>
  </si>
  <si>
    <t xml:space="preserve">Open</t>
  </si>
  <si>
    <t xml:space="preserve">Yes</t>
  </si>
  <si>
    <t xml:space="preserve">High</t>
  </si>
  <si>
    <t xml:space="preserve">Not started</t>
  </si>
  <si>
    <t xml:space="preserve">Service manager</t>
  </si>
  <si>
    <t xml:space="preserve">Upheld</t>
  </si>
  <si>
    <t xml:space="preserve">Phone</t>
  </si>
  <si>
    <t xml:space="preserve">Large</t>
  </si>
  <si>
    <t xml:space="preserve">Nonconformity (process)</t>
  </si>
  <si>
    <t xml:space="preserve">Customer service</t>
  </si>
  <si>
    <t xml:space="preserve">Product quality</t>
  </si>
  <si>
    <t xml:space="preserve">Agent 2</t>
  </si>
  <si>
    <t xml:space="preserve">IT integration failure</t>
  </si>
  <si>
    <t xml:space="preserve">Process</t>
  </si>
  <si>
    <t xml:space="preserve">In progress</t>
  </si>
  <si>
    <t xml:space="preserve">No</t>
  </si>
  <si>
    <t xml:space="preserve">Medium</t>
  </si>
  <si>
    <t xml:space="preserve">Analysis</t>
  </si>
  <si>
    <t xml:space="preserve">Operations manager</t>
  </si>
  <si>
    <t xml:space="preserve">Not upheld</t>
  </si>
  <si>
    <t xml:space="preserve">Live chat</t>
  </si>
  <si>
    <t xml:space="preserve">Feedback</t>
  </si>
  <si>
    <t xml:space="preserve">Logistics</t>
  </si>
  <si>
    <t xml:space="preserve">Contract</t>
  </si>
  <si>
    <t xml:space="preserve">Billing error</t>
  </si>
  <si>
    <t xml:space="preserve">Agent 3</t>
  </si>
  <si>
    <t xml:space="preserve">Insufficient employee training</t>
  </si>
  <si>
    <t xml:space="preserve">System / technology</t>
  </si>
  <si>
    <t xml:space="preserve">Waiting on customer</t>
  </si>
  <si>
    <t xml:space="preserve">Partly</t>
  </si>
  <si>
    <t xml:space="preserve">Low</t>
  </si>
  <si>
    <t xml:space="preserve">Implementing</t>
  </si>
  <si>
    <t xml:space="preserve">IT manager</t>
  </si>
  <si>
    <t xml:space="preserve">Under review</t>
  </si>
  <si>
    <t xml:space="preserve">Social media</t>
  </si>
  <si>
    <t xml:space="preserve">Small</t>
  </si>
  <si>
    <t xml:space="preserve">Suggestion</t>
  </si>
  <si>
    <t xml:space="preserve">IT</t>
  </si>
  <si>
    <t xml:space="preserve">Onboarding</t>
  </si>
  <si>
    <t xml:space="preserve">System failure</t>
  </si>
  <si>
    <t xml:space="preserve">Agent 4</t>
  </si>
  <si>
    <t xml:space="preserve">Unclear process instruction</t>
  </si>
  <si>
    <t xml:space="preserve">Supplier</t>
  </si>
  <si>
    <t xml:space="preserve">Closed</t>
  </si>
  <si>
    <t xml:space="preserve">Implemented</t>
  </si>
  <si>
    <t xml:space="preserve">Product manager</t>
  </si>
  <si>
    <t xml:space="preserve">In person</t>
  </si>
  <si>
    <t xml:space="preserve">New</t>
  </si>
  <si>
    <t xml:space="preserve">Finance</t>
  </si>
  <si>
    <t xml:space="preserve">Ordering</t>
  </si>
  <si>
    <t xml:space="preserve">Lack of information</t>
  </si>
  <si>
    <t xml:space="preserve">Agent 5</t>
  </si>
  <si>
    <t xml:space="preserve">Manual data entry</t>
  </si>
  <si>
    <t xml:space="preserve">Policy / rules</t>
  </si>
  <si>
    <t xml:space="preserve">Rejected</t>
  </si>
  <si>
    <t xml:space="preserve">Effectiveness verified</t>
  </si>
  <si>
    <t xml:space="preserve">Finance manager</t>
  </si>
  <si>
    <t xml:space="preserve">Self-service</t>
  </si>
  <si>
    <t xml:space="preserve">Product</t>
  </si>
  <si>
    <t xml:space="preserve">Delivery</t>
  </si>
  <si>
    <t xml:space="preserve">Service quality</t>
  </si>
  <si>
    <t xml:space="preserve">Agent 6</t>
  </si>
  <si>
    <t xml:space="preserve">System incompatibility</t>
  </si>
  <si>
    <t xml:space="preserve">Information / communication</t>
  </si>
  <si>
    <t xml:space="preserve">Ineffective</t>
  </si>
  <si>
    <t xml:space="preserve">Team lead</t>
  </si>
  <si>
    <t xml:space="preserve">Other</t>
  </si>
  <si>
    <t xml:space="preserve">Legal</t>
  </si>
  <si>
    <t xml:space="preserve">Usage</t>
  </si>
  <si>
    <t xml:space="preserve">Contract terms</t>
  </si>
  <si>
    <t xml:space="preserve">Unclear customer communication</t>
  </si>
  <si>
    <t xml:space="preserve">Environment</t>
  </si>
  <si>
    <t xml:space="preserve">Executive</t>
  </si>
  <si>
    <t xml:space="preserve">Marketing</t>
  </si>
  <si>
    <t xml:space="preserve">Pricing</t>
  </si>
  <si>
    <t xml:space="preserve">Ambiguous contract terms</t>
  </si>
  <si>
    <t xml:space="preserve">Billing</t>
  </si>
  <si>
    <t xml:space="preserve">Supplier error</t>
  </si>
  <si>
    <t xml:space="preserve">Returns</t>
  </si>
  <si>
    <t xml:space="preserve">Capacity shortage</t>
  </si>
  <si>
    <t xml:space="preserve">Cancellation</t>
  </si>
  <si>
    <t xml:space="preserve">Customer expectation mismatch</t>
  </si>
  <si>
    <t xml:space="preserve">Policy / rule constraint</t>
  </si>
  <si>
    <t xml:space="preserve">PARAMETERS AND ASSUMPTIONS</t>
  </si>
  <si>
    <t xml:space="preserve">Blue figures = your input. Every other sheet calculates from here. Calibrate before first use.</t>
  </si>
  <si>
    <t xml:space="preserve">1 · FINANCIAL MODEL (cost of poor quality)</t>
  </si>
  <si>
    <t xml:space="preserve">Cost of one service contact, €</t>
  </si>
  <si>
    <t xml:space="preserve">Assumption. Calculate as: (monthly service cost) / (monthly contact volume). Replace with your own data.</t>
  </si>
  <si>
    <t xml:space="preserve">Default customer annual value, €</t>
  </si>
  <si>
    <t xml:space="preserve">Used only when no specific customer value is entered in the register. Source: average annual revenue per customer.</t>
  </si>
  <si>
    <t xml:space="preserve">Probability of losing the customer after a justified complaint, by severity:</t>
  </si>
  <si>
    <t xml:space="preserve">   Severity 5 (critical)</t>
  </si>
  <si>
    <t xml:space="preserve">Assumption — calibrate against your actual post-complaint churn. Conservative starting bracket.</t>
  </si>
  <si>
    <t xml:space="preserve">   Severity 4 (major)</t>
  </si>
  <si>
    <t xml:space="preserve">Assumption.</t>
  </si>
  <si>
    <t xml:space="preserve">   Severity 3 (moderate)</t>
  </si>
  <si>
    <t xml:space="preserve">   Severity 2 (minor)</t>
  </si>
  <si>
    <t xml:space="preserve">   Severity 1 (negligible)</t>
  </si>
  <si>
    <t xml:space="preserve">2 · SLA LIMITS by priority (calendar days from logging to closure)</t>
  </si>
  <si>
    <t xml:space="preserve">ISO 10002 calls for prompt response on critical cases.</t>
  </si>
  <si>
    <t xml:space="preserve">3 · PRIORITY THRESHOLDS (risk score = Severity × Occurrence × Detection, 1–125; a severity floor also applies)</t>
  </si>
  <si>
    <t xml:space="preserve">High — from</t>
  </si>
  <si>
    <t xml:space="preserve">FMEA logic plus a severity floor: Severity 5 → always “High”; Severity 4 → never below “Medium”, whatever the product. Thresholds are yours to change; the floor sits in the formula (column X).</t>
  </si>
  <si>
    <t xml:space="preserve">Medium — from</t>
  </si>
  <si>
    <t xml:space="preserve">Below this threshold — low priority.</t>
  </si>
  <si>
    <t xml:space="preserve">4 · TARGETS</t>
  </si>
  <si>
    <t xml:space="preserve">FCR target (solved on first contact)</t>
  </si>
  <si>
    <t xml:space="preserve">A bracket seen in practice. It varies by sector — calibrate against your own data, not a benchmark from an article.</t>
  </si>
  <si>
    <t xml:space="preserve">Repeat-problem share — limit</t>
  </si>
  <si>
    <t xml:space="preserve">Above this it is a systemic CAPA problem, not a service problem.</t>
  </si>
  <si>
    <t xml:space="preserve">SLA attainment target</t>
  </si>
  <si>
    <t xml:space="preserve">CAPA effectiveness monitoring window, days</t>
  </si>
  <si>
    <t xml:space="preserve">After rollout, the cause is monitored for this many days to confirm it does not recur.</t>
  </si>
  <si>
    <t xml:space="preserve">5 · IF YOU DO NOT HAVE THESE NUMBERS</t>
  </si>
  <si>
    <t xml:space="preserve">Three numbers on this sheet — contact cost, customer annual value and churn probability — decide whether your COPQ survives a CFO's questions. Most organisations do not have them ready: they have to be derived from finance, CRM and service data. That is roughly half a day's work with someone who has done it before.
ExperienceFirst · ina@experiencefirst.lt · experiencefirst.lt</t>
  </si>
  <si>
    <t xml:space="preserve">6 · VERSION</t>
  </si>
  <si>
    <t xml:space="preserve">Version</t>
  </si>
  <si>
    <t xml:space="preserve">V2.2</t>
  </si>
  <si>
    <t xml:space="preserve">ExperienceFirst</t>
  </si>
  <si>
    <t xml:space="preserve">COMPLAINT, NONCONFORMITY AND VOICE-OF-CUSTOMER REGISTER</t>
  </si>
  <si>
    <t xml:space="preserve">ExperienceFirst · One row = one case · One record — from customer problem to process change · TEAL header = filled by the agent · GOLD = filled by manager/analyst · GREY = calculated automatically (do not edit) · The customer's claim (H) ≠ the upheld decision (P). Only P drives the money.</t>
  </si>
  <si>
    <t xml:space="preserve">AUTO</t>
  </si>
  <si>
    <t xml:space="preserve">LEVEL 1 · filled by the agent at intake (~2 min.)</t>
  </si>
  <si>
    <t xml:space="preserve">LEVEL 2 · analysis and the uphold decision</t>
  </si>
  <si>
    <t xml:space="preserve">AUTOMATED · risk and cost</t>
  </si>
  <si>
    <t xml:space="preserve">RESPONSE AND CAPA</t>
  </si>
  <si>
    <t xml:space="preserve">EXECUTION AND SLA</t>
  </si>
  <si>
    <t xml:space="preserve">No.</t>
  </si>
  <si>
    <t xml:space="preserve">Logged
date</t>
  </si>
  <si>
    <t xml:space="preserve">Incident
date</t>
  </si>
  <si>
    <t xml:space="preserve">Customer
(ID / name)</t>
  </si>
  <si>
    <t xml:space="preserve">Customer annual
value, €</t>
  </si>
  <si>
    <t xml:space="preserve">Customer
claim</t>
  </si>
  <si>
    <t xml:space="preserve">Department
(where it originated)</t>
  </si>
  <si>
    <t xml:space="preserve">Problem
category</t>
  </si>
  <si>
    <t xml:space="preserve">Customer problem (short)</t>
  </si>
  <si>
    <t xml:space="preserve">FCR:
solved on
first contact?</t>
  </si>
  <si>
    <t xml:space="preserve">Contacts
count</t>
  </si>
  <si>
    <t xml:space="preserve">UPHELD?</t>
  </si>
  <si>
    <t xml:space="preserve">Cause
type</t>
  </si>
  <si>
    <t xml:space="preserve">Repeat?</t>
  </si>
  <si>
    <t xml:space="preserve">Sever-
ity
1–5</t>
  </si>
  <si>
    <t xml:space="preserve">Occur-
rence
1–5</t>
  </si>
  <si>
    <t xml:space="preserve">Detec-
tion
1–5</t>
  </si>
  <si>
    <t xml:space="preserve">Risk
score</t>
  </si>
  <si>
    <t xml:space="preserve">Direct
cost, €</t>
  </si>
  <si>
    <t xml:space="preserve">Service
cost, €</t>
  </si>
  <si>
    <t xml:space="preserve">Revenue
at risk, €</t>
  </si>
  <si>
    <t xml:space="preserve">TOTAL COST
(COPQ), €</t>
  </si>
  <si>
    <t xml:space="preserve">Immediate action for customer</t>
  </si>
  <si>
    <t xml:space="preserve">Customer informed
of outcome?</t>
  </si>
  <si>
    <t xml:space="preserve">CAPA
required?</t>
  </si>
  <si>
    <t xml:space="preserve">CAPA ID</t>
  </si>
  <si>
    <t xml:space="preserve">Due date</t>
  </si>
  <si>
    <t xml:space="preserve">Close
date</t>
  </si>
  <si>
    <t xml:space="preserve">Duration,
d.</t>
  </si>
  <si>
    <t xml:space="preserve">SLA limit,
d.</t>
  </si>
  <si>
    <t xml:space="preserve">SLA</t>
  </si>
  <si>
    <t xml:space="preserve">Notes</t>
  </si>
  <si>
    <t xml:space="preserve">Baltic Trade Ltd</t>
  </si>
  <si>
    <t xml:space="preserve">Delivery 3 days late, customer not informed</t>
  </si>
  <si>
    <t xml:space="preserve">Call back by 14:00 + 150 € compensation</t>
  </si>
  <si>
    <t xml:space="preserve">CAPA-001</t>
  </si>
  <si>
    <t xml:space="preserve">Third instance of the same problem this month</t>
  </si>
  <si>
    <t xml:space="preserve">Nordika Ltd</t>
  </si>
  <si>
    <t xml:space="preserve">System failed to send the confirmation email</t>
  </si>
  <si>
    <t xml:space="preserve">Manual confirmation sent within 1 hour</t>
  </si>
  <si>
    <t xml:space="preserve">CAPA-002</t>
  </si>
  <si>
    <t xml:space="preserve">Meridian Services</t>
  </si>
  <si>
    <t xml:space="preserve">Praise: fast and clear response</t>
  </si>
  <si>
    <t xml:space="preserve">Thanked the customer + shared at the team meeting</t>
  </si>
  <si>
    <t xml:space="preserve">Positive VoC signal</t>
  </si>
  <si>
    <t xml:space="preserve">Private individual</t>
  </si>
  <si>
    <t xml:space="preserve">Demands a refund after 60 days (contract says 30)</t>
  </si>
  <si>
    <t xml:space="preserve">Public reply within 2 hours + terms explained</t>
  </si>
  <si>
    <t xml:space="preserve">Unjustified, but exposes a communication gap</t>
  </si>
  <si>
    <t xml:space="preserve">Kaunas Logistics Ltd</t>
  </si>
  <si>
    <t xml:space="preserve">2 days late, no advance warning</t>
  </si>
  <si>
    <t xml:space="preserve">Apology + discount on next order</t>
  </si>
  <si>
    <t xml:space="preserve">Rytas Group</t>
  </si>
  <si>
    <t xml:space="preserve">Requests order history in the self-service portal</t>
  </si>
  <si>
    <t xml:space="preserve">Logged as a feature need, passed to product</t>
  </si>
  <si>
    <t xml:space="preserve">3rd identical request this quarter</t>
  </si>
  <si>
    <t xml:space="preserve">Wrong tariff applied on the invoice</t>
  </si>
  <si>
    <t xml:space="preserve">Invoice corrected within 1 business day</t>
  </si>
  <si>
    <t xml:space="preserve">CAPA-003</t>
  </si>
  <si>
    <t xml:space="preserve">Closed late</t>
  </si>
  <si>
    <t xml:space="preserve">Waited 5 days for a reply, bounced between 3 agents</t>
  </si>
  <si>
    <t xml:space="preserve">Manager call + single point of contact assigned</t>
  </si>
  <si>
    <t xml:space="preserve">Seagate Industries</t>
  </si>
  <si>
    <t xml:space="preserve">4 days late — customer's production line stopped</t>
  </si>
  <si>
    <t xml:space="preserve">Executives skambutis + kompensacija 900 €</t>
  </si>
  <si>
    <t xml:space="preserve">Churn risk — escalated to the executive team</t>
  </si>
  <si>
    <t xml:space="preserve">Northline Supply</t>
  </si>
  <si>
    <t xml:space="preserve">Order form did not save the address</t>
  </si>
  <si>
    <t xml:space="preserve">Order entered manually</t>
  </si>
  <si>
    <t xml:space="preserve">CAPA-004</t>
  </si>
  <si>
    <t xml:space="preserve">Double charge</t>
  </si>
  <si>
    <t xml:space="preserve">Funds refunded the same day</t>
  </si>
  <si>
    <t xml:space="preserve">Klaipeda Marine Ltd</t>
  </si>
  <si>
    <t xml:space="preserve">Wrong price quoted in the proposal</t>
  </si>
  <si>
    <t xml:space="preserve">Price confirmed in writing, original one honoured</t>
  </si>
  <si>
    <t xml:space="preserve">DEMO data — 12 rows. Before use, select rows 5–16 and delete the ENTIRE ROWS (right-click → Delete rows), not the contents.</t>
  </si>
  <si>
    <t xml:space="preserve">CORRECTIVE ACTION REGISTER (CAPA) · ISO 9001:2015 10.2 · ISO 10002</t>
  </si>
  <si>
    <t xml:space="preserve">Correction ≠ corrective action. A correction fixes the case for the customer. A corrective action removes the cause from the process. A CAPA may only be closed once column R shows the cause has stopped recurring — that is the ISO 9001 10.2.1 (e) requirement.</t>
  </si>
  <si>
    <t xml:space="preserve">Related register No.</t>
  </si>
  <si>
    <t xml:space="preserve">Opened
date</t>
  </si>
  <si>
    <t xml:space="preserve">Nonconformity / problem description</t>
  </si>
  <si>
    <t xml:space="preserve">Root cause
(from register taxonomy)</t>
  </si>
  <si>
    <t xml:space="preserve">5 WHYS? (analysis chain)</t>
  </si>
  <si>
    <t xml:space="preserve">Correction
(what was done for the customer — does not remove the cause)</t>
  </si>
  <si>
    <t xml:space="preserve">CORRECTIVE ACTION
(what changes in the process — removes the cause)</t>
  </si>
  <si>
    <t xml:space="preserve">Document / system / instruction being changed</t>
  </si>
  <si>
    <t xml:space="preserve">Implemented
date</t>
  </si>
  <si>
    <t xml:space="preserve">Effectiveness check
(date)</t>
  </si>
  <si>
    <t xml:space="preserve">Effectiveness criterion
(measurable)</t>
  </si>
  <si>
    <t xml:space="preserve">Recurrences
after rollout</t>
  </si>
  <si>
    <t xml:space="preserve">EFFECTIVENESS VERDICT</t>
  </si>
  <si>
    <t xml:space="preserve">Cost before
(COPQ, €)</t>
  </si>
  <si>
    <t xml:space="preserve">1, 5, 9</t>
  </si>
  <si>
    <t xml:space="preserve">Partner deliveries run &gt; 48 h late, customers are not warned</t>
  </si>
  <si>
    <t xml:space="preserve">1. Why did the customer complain? Goods arrived 3 days late.
2. Why late? The partner lacks capacity on peak days.
3. Why no warning? No delay signal comes from the partner's system.
4. Why no signal? The contract never required data exchange.
5. Why not? The contract was awarded on price alone, with no SLA metrics.</t>
  </si>
  <si>
    <t xml:space="preserve">Calls to customers, 1,130 € in compensation</t>
  </si>
  <si>
    <t xml:space="preserve">Partner contract rewritten: 48 h SLA, penalties, mandatory status feed via API. Automatic 12 h advance delay alert to the customer deployed.</t>
  </si>
  <si>
    <t xml:space="preserve">Logistics partner contract; order system notification module</t>
  </si>
  <si>
    <t xml:space="preserve">Late-delivery complaints = 0 over 60 days</t>
  </si>
  <si>
    <t xml:space="preserve">DEMO</t>
  </si>
  <si>
    <t xml:space="preserve">2</t>
  </si>
  <si>
    <t xml:space="preserve">Onboarding system does not send the confirmation email</t>
  </si>
  <si>
    <t xml:space="preserve">1. Customer received no confirmation.
2. The API did not pass the event.
3. There was no error monitoring.
4. Monitoring was not part of the rollout.
5. No rollout checklist exists.</t>
  </si>
  <si>
    <t xml:space="preserve">Manual confirmation sent</t>
  </si>
  <si>
    <t xml:space="preserve">API integration fixed, error monitoring deployed, and a mandatory rollout checklist introduced</t>
  </si>
  <si>
    <t xml:space="preserve">Rollout checklist; monitoring rules</t>
  </si>
  <si>
    <t xml:space="preserve">Confirmation-email failures = 0 over 60 days</t>
  </si>
  <si>
    <t xml:space="preserve">7, 11</t>
  </si>
  <si>
    <t xml:space="preserve">Wrong tariffs applied on invoices (manual entry)</t>
  </si>
  <si>
    <t xml:space="preserve">1. Wrong tariff on the invoice.
2. The tariff is keyed in by hand.
3. There is no link to contract data.
4. The systems are not integrated.
5. Integration was deprioritised.</t>
  </si>
  <si>
    <t xml:space="preserve">Invoices corrected, funds refunded</t>
  </si>
  <si>
    <t xml:space="preserve">Tariff auto-filled from contract data + four-eyes check on invoices &gt; 1,000 €</t>
  </si>
  <si>
    <t xml:space="preserve">Invoicing instruction; ERP integration</t>
  </si>
  <si>
    <t xml:space="preserve">Invoice errors = 0 over 60 days</t>
  </si>
  <si>
    <t xml:space="preserve">10</t>
  </si>
  <si>
    <t xml:space="preserve">Order form does not save the delivery address</t>
  </si>
  <si>
    <t xml:space="preserve">1. The address disappeared.
2. The form does not pass the field.
3. The field was added without a test.
4. There is no regression testing.
5. Testing is optional for small changes.</t>
  </si>
  <si>
    <t xml:space="preserve">Regression test made mandatory for all form changes</t>
  </si>
  <si>
    <t xml:space="preserve">Change management procedure</t>
  </si>
  <si>
    <t xml:space="preserve">Form errors = 0 over 60 days</t>
  </si>
  <si>
    <t xml:space="preserve">EXECUTIVE DASHBOARD · the decision read-out</t>
  </si>
  <si>
    <t xml:space="preserve">Every block answers one executive question. The numbers are automatic. The decision is yours.</t>
  </si>
  <si>
    <t xml:space="preserve">DATE FILTER (applies to every block below)</t>
  </si>
  <si>
    <t xml:space="preserve">From:</t>
  </si>
  <si>
    <t xml:space="preserve">← leave blank = all records</t>
  </si>
  <si>
    <t xml:space="preserve">To:</t>
  </si>
  <si>
    <t xml:space="preserve">PAGRINDINIAI RODIKLIAI</t>
  </si>
  <si>
    <t xml:space="preserve">Metric</t>
  </si>
  <si>
    <t xml:space="preserve">Total
records</t>
  </si>
  <si>
    <t xml:space="preserve">Justified
complaints</t>
  </si>
  <si>
    <t xml:space="preserve">Nonconformities</t>
  </si>
  <si>
    <t xml:space="preserve">OVERDUE</t>
  </si>
  <si>
    <t xml:space="preserve">FCR %</t>
  </si>
  <si>
    <t xml:space="preserve">SLA %</t>
  </si>
  <si>
    <t xml:space="preserve">Read-out</t>
  </si>
  <si>
    <t xml:space="preserve">Value</t>
  </si>
  <si>
    <t xml:space="preserve">Repeats</t>
  </si>
  <si>
    <t xml:space="preserve">Repeat %</t>
  </si>
  <si>
    <t xml:space="preserve">Avg. cost
per case, €</t>
  </si>
  <si>
    <t xml:space="preserve">Avg. resolution
time, d.</t>
  </si>
  <si>
    <t xml:space="preserve">UPHOLD
RATE</t>
  </si>
  <si>
    <t xml:space="preserve">WHICH DEPARTMENT CREATES THE MOST PROBLEMS, AND WHERE IS THE MONEY LOST?</t>
  </si>
  <si>
    <t xml:space="preserve">Cases</t>
  </si>
  <si>
    <t xml:space="preserve">Nonconfor-
mities</t>
  </si>
  <si>
    <t xml:space="preserve">Avg. risk
score</t>
  </si>
  <si>
    <t xml:space="preserve">COPQ, €</t>
  </si>
  <si>
    <t xml:space="preserve">% of total
cost</t>
  </si>
  <si>
    <t xml:space="preserve">Read column H, not C. Most cases ≠ most damage.</t>
  </si>
  <si>
    <t xml:space="preserve">TOTAL</t>
  </si>
  <si>
    <t xml:space="preserve">WHICH EMPLOYEE HAS THE MOST REPEAT INCIDENTS?</t>
  </si>
  <si>
    <t xml:space="preserve">Avg. contacts
per case</t>
  </si>
  <si>
    <t xml:space="preserve">Cause:
People</t>
  </si>
  <si>
    <t xml:space="preserve">WARNING: a high case count shows workload, not fault. Judge column I only — the cause 'People'. Everything else is a process, system or supplier problem filed under a person's name.</t>
  </si>
  <si>
    <t xml:space="preserve">WHERE DO PROCESSES STALL, AND WHICH ONES CARRY THE MOST RISK?</t>
  </si>
  <si>
    <t xml:space="preserve">TOTAL
risk score</t>
  </si>
  <si>
    <t xml:space="preserve">Avg. duration,
d.</t>
  </si>
  <si>
    <t xml:space="preserve">WHERE ARE PROCESS CHANGES NEEDED? (corrective action status)</t>
  </si>
  <si>
    <t xml:space="preserve">CAPA
required</t>
  </si>
  <si>
    <t xml:space="preserve">CAPA
opened</t>
  </si>
  <si>
    <t xml:space="preserve">CAPA
debt</t>
  </si>
  <si>
    <t xml:space="preserve">Overdue
CAPA</t>
  </si>
  <si>
    <t xml:space="preserve">Effectiveness
verified</t>
  </si>
  <si>
    <t xml:space="preserve">INEFFECTIVE</t>
  </si>
  <si>
    <t xml:space="preserve">CAPA cost
before, €</t>
  </si>
  <si>
    <t xml:space="preserve">WHAT IS THE FASTEST WAY TO CUT COMPLAINT VOLUME? (see the Pareto sheet)</t>
  </si>
  <si>
    <t xml:space="preserve">PARETO ANALYSIS · where 80 % of the damage sits</t>
  </si>
  <si>
    <t xml:space="preserve">Only records with an identified root cause are counted. Causes are ranked by case volume. The cumulative % shows how much of the problem disappears as you remove causes from the top down. The 80 % line is where investment stops.</t>
  </si>
  <si>
    <t xml:space="preserve">RANKED (automatic)</t>
  </si>
  <si>
    <t xml:space="preserve">SOURCE (do not touch)</t>
  </si>
  <si>
    <t xml:space="preserve">Cost (COPQ), €</t>
  </si>
  <si>
    <t xml:space="preserve">% of cost</t>
  </si>
  <si>
    <t xml:space="preserve">Cumulative % of cases
(with identified cause)</t>
  </si>
  <si>
    <t xml:space="preserve">Cost, €</t>
  </si>
  <si>
    <t xml:space="preserve">READ-OUT</t>
  </si>
  <si>
    <t xml:space="preserve">24-MONTH TREND · rolling window</t>
  </si>
  <si>
    <t xml:space="preserve">Months are derived from today's date automatically — the table never needs rewriting each year. The last row is the current, incomplete month: do not compare it with the ones before it.</t>
  </si>
  <si>
    <t xml:space="preserve">Month</t>
  </si>
  <si>
    <t xml:space="preserve">Manager comment</t>
  </si>
  <si>
    <t xml:space="preserve">CHANGE · last full month vs the month before (calculated automatically)</t>
  </si>
  <si>
    <t xml:space="preserve">Last full mo.</t>
  </si>
  <si>
    <t xml:space="preserve">Prior mo.</t>
  </si>
  <si>
    <t xml:space="preserve">Change</t>
  </si>
  <si>
    <t xml:space="preserve">Direction</t>
  </si>
  <si>
    <t xml:space="preserve">Justified complaints</t>
  </si>
  <si>
    <t xml:space="preserve">AUTHORITY MAP · who can decide what without asking</t>
  </si>
  <si>
    <t xml:space="preserve">Every agent knows: what they decide themselves · when to escalate · to whom. Unclear authority = low FCR and long resolution times. When FCR drops on the Dashboard, this sheet is checked first — not the agent.</t>
  </si>
  <si>
    <t xml:space="preserve">Scenario</t>
  </si>
  <si>
    <t xml:space="preserve">Agent
(level 1)</t>
  </si>
  <si>
    <t xml:space="preserve">Team lead
(2 lygis)</t>
  </si>
  <si>
    <t xml:space="preserve">Executive
(level 3)</t>
  </si>
  <si>
    <t xml:space="preserve">Compensation
limit</t>
  </si>
  <si>
    <t xml:space="preserve">Response
deadline</t>
  </si>
  <si>
    <t xml:space="preserve">Late delivery (≤ 3 days)</t>
  </si>
  <si>
    <t xml:space="preserve">Decides: apologise + inform</t>
  </si>
  <si>
    <t xml:space="preserve">Decides: compensation up to 30 €</t>
  </si>
  <si>
    <t xml:space="preserve">—</t>
  </si>
  <si>
    <t xml:space="preserve">≤ 30 €</t>
  </si>
  <si>
    <t xml:space="preserve">2 h</t>
  </si>
  <si>
    <t xml:space="preserve">Late delivery (&gt; 3 days)</t>
  </si>
  <si>
    <t xml:space="preserve">Logs, escalates</t>
  </si>
  <si>
    <t xml:space="preserve">Decides</t>
  </si>
  <si>
    <t xml:space="preserve">Informed</t>
  </si>
  <si>
    <t xml:space="preserve">≤ 100 €</t>
  </si>
  <si>
    <t xml:space="preserve">4 h</t>
  </si>
  <si>
    <t xml:space="preserve">CAPA mandatory if it repeats</t>
  </si>
  <si>
    <t xml:space="preserve">Product defect</t>
  </si>
  <si>
    <t xml:space="preserve">Decides: accept + replace</t>
  </si>
  <si>
    <t xml:space="preserve">Decides: compensation</t>
  </si>
  <si>
    <t xml:space="preserve">≤ 50 €</t>
  </si>
  <si>
    <t xml:space="preserve">1 bus. day</t>
  </si>
  <si>
    <t xml:space="preserve">Contract nonconformity</t>
  </si>
  <si>
    <t xml:space="preserve">Approves</t>
  </si>
  <si>
    <t xml:space="preserve">2 bus. days</t>
  </si>
  <si>
    <t xml:space="preserve">Hand to legal</t>
  </si>
  <si>
    <t xml:space="preserve">Invoice error</t>
  </si>
  <si>
    <t xml:space="preserve">Logs</t>
  </si>
  <si>
    <t xml:space="preserve">Corrects</t>
  </si>
  <si>
    <t xml:space="preserve">CAPA mandatory</t>
  </si>
  <si>
    <t xml:space="preserve">Unjustified demand</t>
  </si>
  <si>
    <t xml:space="preserve">Decides: explains the policy</t>
  </si>
  <si>
    <t xml:space="preserve">Steps in if the customer insists</t>
  </si>
  <si>
    <t xml:space="preserve">24 h</t>
  </si>
  <si>
    <t xml:space="preserve">Document it — it exposes a communication gap</t>
  </si>
  <si>
    <t xml:space="preserve">Positive feedback</t>
  </si>
  <si>
    <t xml:space="preserve">Decides: thanks the customer</t>
  </si>
  <si>
    <t xml:space="preserve">Shares with the team</t>
  </si>
  <si>
    <t xml:space="preserve">VoC signal — log it in the register</t>
  </si>
  <si>
    <t xml:space="preserve">Feature suggestion</t>
  </si>
  <si>
    <t xml:space="preserve">Passes to product</t>
  </si>
  <si>
    <t xml:space="preserve">1 week</t>
  </si>
  <si>
    <t xml:space="preserve">Public complaint (social media)</t>
  </si>
  <si>
    <t xml:space="preserve">Escalates immediately</t>
  </si>
  <si>
    <t xml:space="preserve">Replies publicly</t>
  </si>
  <si>
    <t xml:space="preserve">Reply in public, resolve in private</t>
  </si>
  <si>
    <t xml:space="preserve">Strategic customer complaint</t>
  </si>
  <si>
    <t xml:space="preserve">Any</t>
  </si>
  <si>
    <t xml:space="preserve">Logs, escalates immediately</t>
  </si>
  <si>
    <t xml:space="preserve">Coordinates</t>
  </si>
  <si>
    <t xml:space="preserve">Decides + calls the customer</t>
  </si>
  <si>
    <t xml:space="preserve">Case by case</t>
  </si>
  <si>
    <t xml:space="preserve">Same day</t>
  </si>
  <si>
    <t xml:space="preserve">Annual value at risk &gt; 20,000 €</t>
  </si>
  <si>
    <t xml:space="preserve">Risk score ≥ 60</t>
  </si>
  <si>
    <t xml:space="preserve">Escalates</t>
  </si>
  <si>
    <t xml:space="preserve">Flagged automatically from register column W</t>
  </si>
  <si>
    <t xml:space="preserve">Review quarterly. If an agent escalates what they could have decided themselves, the problem is in this table, not in the person. Compensation limits are calibrated against the actual average COPQ per case (see the Dashboard).</t>
  </si>
</sst>
</file>

<file path=xl/styles.xml><?xml version="1.0" encoding="utf-8"?>
<styleSheet xmlns="http://schemas.openxmlformats.org/spreadsheetml/2006/main">
  <numFmts count="12">
    <numFmt numFmtId="164" formatCode="General"/>
    <numFmt numFmtId="165" formatCode="#,##0.00&quot; €&quot;"/>
    <numFmt numFmtId="166" formatCode="#,##0&quot; €&quot;"/>
    <numFmt numFmtId="167" formatCode="0%"/>
    <numFmt numFmtId="168" formatCode="0"/>
    <numFmt numFmtId="169" formatCode="General"/>
    <numFmt numFmtId="170" formatCode="yyyy\-mm\-dd"/>
    <numFmt numFmtId="171" formatCode="#,##0"/>
    <numFmt numFmtId="172" formatCode="0.0%"/>
    <numFmt numFmtId="173" formatCode="0.0"/>
    <numFmt numFmtId="174" formatCode="0.00000"/>
    <numFmt numFmtId="175" formatCode="yyyy\-mm"/>
  </numFmts>
  <fonts count="33">
    <font>
      <sz val="11"/>
      <color theme="1"/>
      <name val="Calibri"/>
      <family val="2"/>
      <charset val="1"/>
    </font>
    <font>
      <sz val="10"/>
      <name val="Arial"/>
      <family val="0"/>
    </font>
    <font>
      <sz val="10"/>
      <name val="Arial"/>
      <family val="0"/>
    </font>
    <font>
      <sz val="10"/>
      <name val="Arial"/>
      <family val="0"/>
    </font>
    <font>
      <b val="true"/>
      <sz val="20"/>
      <color rgb="FFFFFFFF"/>
      <name val="Arial"/>
      <family val="0"/>
      <charset val="1"/>
    </font>
    <font>
      <sz val="11"/>
      <color rgb="FF084A52"/>
      <name val="Arial"/>
      <family val="0"/>
      <charset val="1"/>
    </font>
    <font>
      <b val="true"/>
      <sz val="12"/>
      <color rgb="FFFFFFFF"/>
      <name val="Arial"/>
      <family val="0"/>
      <charset val="1"/>
    </font>
    <font>
      <b val="true"/>
      <sz val="10"/>
      <color rgb="FF084A52"/>
      <name val="Arial"/>
      <family val="0"/>
      <charset val="1"/>
    </font>
    <font>
      <sz val="10"/>
      <color rgb="FF1C1C1C"/>
      <name val="Arial"/>
      <family val="0"/>
      <charset val="1"/>
    </font>
    <font>
      <b val="true"/>
      <sz val="10"/>
      <color rgb="FF1C1C1C"/>
      <name val="Arial"/>
      <family val="0"/>
      <charset val="1"/>
    </font>
    <font>
      <b val="true"/>
      <sz val="12"/>
      <color rgb="FF084A52"/>
      <name val="Arial"/>
      <family val="0"/>
      <charset val="1"/>
    </font>
    <font>
      <i val="true"/>
      <sz val="9"/>
      <color rgb="FF666666"/>
      <name val="Arial"/>
      <family val="0"/>
      <charset val="1"/>
    </font>
    <font>
      <b val="true"/>
      <sz val="9"/>
      <color rgb="FFFFFFFF"/>
      <name val="Arial"/>
      <family val="0"/>
      <charset val="1"/>
    </font>
    <font>
      <sz val="9"/>
      <color rgb="FF1C1C1C"/>
      <name val="Arial"/>
      <family val="0"/>
      <charset val="1"/>
    </font>
    <font>
      <b val="true"/>
      <sz val="14"/>
      <color rgb="FF084A52"/>
      <name val="Arial"/>
      <family val="0"/>
      <charset val="1"/>
    </font>
    <font>
      <b val="true"/>
      <sz val="10"/>
      <color rgb="FFFFFFFF"/>
      <name val="Arial"/>
      <family val="0"/>
      <charset val="1"/>
    </font>
    <font>
      <sz val="10"/>
      <color rgb="FF0000FF"/>
      <name val="Arial"/>
      <family val="0"/>
      <charset val="1"/>
    </font>
    <font>
      <i val="true"/>
      <sz val="8"/>
      <color rgb="FF666666"/>
      <name val="Arial"/>
      <family val="0"/>
      <charset val="1"/>
    </font>
    <font>
      <sz val="9"/>
      <color rgb="FF084A52"/>
      <name val="Arial"/>
      <family val="0"/>
      <charset val="1"/>
    </font>
    <font>
      <b val="true"/>
      <sz val="15"/>
      <color rgb="FFFFFFFF"/>
      <name val="Arial"/>
      <family val="0"/>
      <charset val="1"/>
    </font>
    <font>
      <b val="true"/>
      <sz val="8"/>
      <color rgb="FFFFFFFF"/>
      <name val="Arial"/>
      <family val="0"/>
      <charset val="1"/>
    </font>
    <font>
      <b val="true"/>
      <sz val="16"/>
      <color rgb="FFFFFFFF"/>
      <name val="Arial"/>
      <family val="0"/>
      <charset val="1"/>
    </font>
    <font>
      <b val="true"/>
      <sz val="11"/>
      <color rgb="FFFFFFFF"/>
      <name val="Arial"/>
      <family val="0"/>
      <charset val="1"/>
    </font>
    <font>
      <b val="true"/>
      <sz val="12"/>
      <color rgb="FF1C1C1C"/>
      <name val="Arial"/>
      <family val="0"/>
      <charset val="1"/>
    </font>
    <font>
      <sz val="10"/>
      <color rgb="FF008000"/>
      <name val="Arial"/>
      <family val="0"/>
      <charset val="1"/>
    </font>
    <font>
      <b val="true"/>
      <sz val="9"/>
      <color rgb="FF1C1C1C"/>
      <name val="Arial"/>
      <family val="0"/>
      <charset val="1"/>
    </font>
    <font>
      <b val="true"/>
      <sz val="9"/>
      <color rgb="FF084A52"/>
      <name val="Arial"/>
      <family val="0"/>
      <charset val="1"/>
    </font>
    <font>
      <i val="true"/>
      <sz val="9"/>
      <color rgb="FFC0392B"/>
      <name val="Arial"/>
      <family val="0"/>
      <charset val="1"/>
    </font>
    <font>
      <b val="true"/>
      <sz val="11"/>
      <color rgb="FF084A52"/>
      <name val="Arial"/>
      <family val="0"/>
      <charset val="1"/>
    </font>
    <font>
      <sz val="8"/>
      <color rgb="FFAAAAAA"/>
      <name val="Arial"/>
      <family val="0"/>
      <charset val="1"/>
    </font>
    <font>
      <b val="true"/>
      <sz val="18"/>
      <color rgb="FF000000"/>
      <name val="Calibri"/>
      <family val="2"/>
    </font>
    <font>
      <sz val="10"/>
      <color rgb="FF000000"/>
      <name val="Calibri"/>
      <family val="2"/>
    </font>
    <font>
      <b val="true"/>
      <sz val="10"/>
      <color rgb="FF000000"/>
      <name val="Calibri"/>
      <family val="2"/>
    </font>
  </fonts>
  <fills count="11">
    <fill>
      <patternFill patternType="none"/>
    </fill>
    <fill>
      <patternFill patternType="gray125"/>
    </fill>
    <fill>
      <patternFill patternType="solid">
        <fgColor rgb="FF084A52"/>
        <bgColor rgb="FF0E6B75"/>
      </patternFill>
    </fill>
    <fill>
      <patternFill patternType="solid">
        <fgColor rgb="FFF7F4EF"/>
        <bgColor rgb="FFF2F2F0"/>
      </patternFill>
    </fill>
    <fill>
      <patternFill patternType="solid">
        <fgColor rgb="FF0E6B75"/>
        <bgColor rgb="FF1E7B4F"/>
      </patternFill>
    </fill>
    <fill>
      <patternFill patternType="solid">
        <fgColor rgb="FFFFFFFF"/>
        <bgColor rgb="FFF7F4EF"/>
      </patternFill>
    </fill>
    <fill>
      <patternFill patternType="solid">
        <fgColor rgb="FFFFFFCC"/>
        <bgColor rgb="FFFCF3D5"/>
      </patternFill>
    </fill>
    <fill>
      <patternFill patternType="solid">
        <fgColor rgb="FF5A6A6C"/>
        <bgColor rgb="FF666666"/>
      </patternFill>
    </fill>
    <fill>
      <patternFill patternType="solid">
        <fgColor rgb="FF8A8F8C"/>
        <bgColor rgb="FF878787"/>
      </patternFill>
    </fill>
    <fill>
      <patternFill patternType="solid">
        <fgColor rgb="FFC4974A"/>
        <bgColor rgb="FFB8860B"/>
      </patternFill>
    </fill>
    <fill>
      <patternFill patternType="solid">
        <fgColor rgb="FFF2F2F0"/>
        <bgColor rgb="FFF7F4EF"/>
      </patternFill>
    </fill>
  </fills>
  <borders count="4">
    <border diagonalUp="false" diagonalDown="false">
      <left/>
      <right/>
      <top/>
      <bottom/>
      <diagonal/>
    </border>
    <border diagonalUp="false" diagonalDown="false">
      <left style="thin">
        <color rgb="FFBFBAB2"/>
      </left>
      <right style="thin">
        <color rgb="FFBFBAB2"/>
      </right>
      <top style="thin">
        <color rgb="FFBFBAB2"/>
      </top>
      <bottom style="thin">
        <color rgb="FFBFBAB2"/>
      </bottom>
      <diagonal/>
    </border>
    <border diagonalUp="false" diagonalDown="false">
      <left style="thin">
        <color rgb="FFBFBAB2"/>
      </left>
      <right/>
      <top style="thin">
        <color rgb="FFBFBAB2"/>
      </top>
      <bottom/>
      <diagonal/>
    </border>
    <border diagonalUp="false" diagonalDown="false">
      <left style="thin">
        <color rgb="FFBFBAB2"/>
      </left>
      <right style="thin">
        <color rgb="FFBFBAB2"/>
      </right>
      <top style="thin">
        <color rgb="FFBFBAB2"/>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1" shrinkToFit="false"/>
      <protection locked="true" hidden="false"/>
    </xf>
    <xf numFmtId="164" fontId="5" fillId="3" borderId="0" xfId="0" applyFont="true" applyBorder="true" applyAlignment="true" applyProtection="false">
      <alignment horizontal="general" vertical="center" textRotation="0" wrapText="false" indent="1" shrinkToFit="false"/>
      <protection locked="true" hidden="false"/>
    </xf>
    <xf numFmtId="164" fontId="6" fillId="4" borderId="0" xfId="0" applyFont="true" applyBorder="true" applyAlignment="true" applyProtection="false">
      <alignment horizontal="general" vertical="center" textRotation="0" wrapText="false" indent="1"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4" borderId="1" xfId="0" applyFont="true" applyBorder="true" applyAlignment="true" applyProtection="false">
      <alignment horizontal="general" vertical="center" textRotation="0" wrapText="true" indent="0" shrinkToFit="false"/>
      <protection locked="true" hidden="false"/>
    </xf>
    <xf numFmtId="164" fontId="13" fillId="5" borderId="1" xfId="0" applyFont="true" applyBorder="true" applyAlignment="false" applyProtection="true">
      <alignment horizontal="general" vertical="bottom" textRotation="0" wrapText="false" indent="0" shrinkToFit="false"/>
      <protection locked="fals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16" fillId="6" borderId="1" xfId="0" applyFont="true" applyBorder="true" applyAlignment="false" applyProtection="true">
      <alignment horizontal="general" vertical="bottom" textRotation="0" wrapText="false" indent="0" shrinkToFit="false"/>
      <protection locked="fals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6" fontId="16" fillId="6" borderId="1" xfId="0" applyFont="true" applyBorder="true" applyAlignment="false" applyProtection="true">
      <alignment horizontal="general" vertical="bottom" textRotation="0" wrapText="false" indent="0" shrinkToFit="false"/>
      <protection locked="fals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7" fontId="16" fillId="6" borderId="1" xfId="0" applyFont="true" applyBorder="true" applyAlignment="false" applyProtection="true">
      <alignment horizontal="general" vertical="bottom" textRotation="0" wrapText="false" indent="0" shrinkToFit="false"/>
      <protection locked="false" hidden="false"/>
    </xf>
    <xf numFmtId="168" fontId="16" fillId="6" borderId="1" xfId="0" applyFont="true" applyBorder="true" applyAlignment="false" applyProtection="true">
      <alignment horizontal="general" vertical="bottom" textRotation="0" wrapText="false" indent="0" shrinkToFit="false"/>
      <protection locked="false" hidden="false"/>
    </xf>
    <xf numFmtId="164" fontId="18" fillId="3" borderId="2" xfId="0" applyFont="true" applyBorder="true" applyAlignment="true" applyProtection="false">
      <alignment horizontal="general" vertical="center" textRotation="0" wrapText="true" indent="1" shrinkToFit="false"/>
      <protection locked="true" hidden="false"/>
    </xf>
    <xf numFmtId="164" fontId="19" fillId="2" borderId="0" xfId="0" applyFont="true" applyBorder="true" applyAlignment="true" applyProtection="false">
      <alignment horizontal="left" vertical="center" textRotation="0" wrapText="false" indent="1" shrinkToFit="false"/>
      <protection locked="true" hidden="false"/>
    </xf>
    <xf numFmtId="164" fontId="18" fillId="3" borderId="0" xfId="0" applyFont="true" applyBorder="true" applyAlignment="true" applyProtection="false">
      <alignment horizontal="left" vertical="center" textRotation="0" wrapText="false" indent="1" shrinkToFit="false"/>
      <protection locked="true" hidden="false"/>
    </xf>
    <xf numFmtId="164" fontId="20" fillId="7" borderId="0" xfId="0" applyFont="true" applyBorder="false" applyAlignment="true" applyProtection="false">
      <alignment horizontal="center" vertical="center" textRotation="0" wrapText="false" indent="0" shrinkToFit="false"/>
      <protection locked="true" hidden="false"/>
    </xf>
    <xf numFmtId="164" fontId="20" fillId="2" borderId="0" xfId="0" applyFont="true" applyBorder="true" applyAlignment="true" applyProtection="false">
      <alignment horizontal="center" vertical="center" textRotation="0" wrapText="false" indent="0" shrinkToFit="false"/>
      <protection locked="true" hidden="false"/>
    </xf>
    <xf numFmtId="164" fontId="20" fillId="7" borderId="0" xfId="0" applyFont="true" applyBorder="true" applyAlignment="true" applyProtection="false">
      <alignment horizontal="center" vertical="center" textRotation="0" wrapText="false" indent="0" shrinkToFit="false"/>
      <protection locked="true" hidden="false"/>
    </xf>
    <xf numFmtId="164" fontId="12" fillId="8" borderId="1"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false">
      <alignment horizontal="center" vertical="center" textRotation="0" wrapText="true" indent="0" shrinkToFit="false"/>
      <protection locked="true" hidden="false"/>
    </xf>
    <xf numFmtId="164" fontId="12" fillId="9" borderId="1" xfId="0" applyFont="true" applyBorder="true" applyAlignment="true" applyProtection="false">
      <alignment horizontal="center" vertical="center" textRotation="0" wrapText="true" indent="0" shrinkToFit="false"/>
      <protection locked="true" hidden="false"/>
    </xf>
    <xf numFmtId="169" fontId="13" fillId="10" borderId="1" xfId="0" applyFont="true" applyBorder="true" applyAlignment="true" applyProtection="false">
      <alignment horizontal="general" vertical="top" textRotation="0" wrapText="false" indent="0" shrinkToFit="false"/>
      <protection locked="true" hidden="false"/>
    </xf>
    <xf numFmtId="170" fontId="13" fillId="5" borderId="1" xfId="0" applyFont="true" applyBorder="true" applyAlignment="true" applyProtection="true">
      <alignment horizontal="general" vertical="top" textRotation="0" wrapText="false" indent="0" shrinkToFit="false"/>
      <protection locked="false" hidden="false"/>
    </xf>
    <xf numFmtId="164" fontId="13" fillId="5" borderId="1" xfId="0" applyFont="true" applyBorder="true" applyAlignment="true" applyProtection="true">
      <alignment horizontal="general" vertical="top" textRotation="0" wrapText="false" indent="0" shrinkToFit="false"/>
      <protection locked="false" hidden="false"/>
    </xf>
    <xf numFmtId="166" fontId="13" fillId="5" borderId="1" xfId="0" applyFont="true" applyBorder="true" applyAlignment="true" applyProtection="true">
      <alignment horizontal="general" vertical="top" textRotation="0" wrapText="false" indent="0" shrinkToFit="false"/>
      <protection locked="false" hidden="false"/>
    </xf>
    <xf numFmtId="164" fontId="13" fillId="5" borderId="1" xfId="0" applyFont="true" applyBorder="true" applyAlignment="true" applyProtection="true">
      <alignment horizontal="general" vertical="top" textRotation="0" wrapText="true" indent="0" shrinkToFit="false"/>
      <protection locked="false" hidden="false"/>
    </xf>
    <xf numFmtId="164" fontId="13" fillId="10" borderId="1" xfId="0" applyFont="true" applyBorder="true" applyAlignment="true" applyProtection="false">
      <alignment horizontal="general" vertical="top" textRotation="0" wrapText="false" indent="0" shrinkToFit="false"/>
      <protection locked="true" hidden="false"/>
    </xf>
    <xf numFmtId="166" fontId="13" fillId="10" borderId="1" xfId="0" applyFont="true" applyBorder="true" applyAlignment="true" applyProtection="false">
      <alignment horizontal="general" vertical="top" textRotation="0" wrapText="false" indent="0" shrinkToFit="false"/>
      <protection locked="true" hidden="false"/>
    </xf>
    <xf numFmtId="168" fontId="13" fillId="10" borderId="1" xfId="0" applyFont="true" applyBorder="true" applyAlignment="true" applyProtection="false">
      <alignment horizontal="general" vertical="top" textRotation="0" wrapText="false" indent="0" shrinkToFit="false"/>
      <protection locked="true" hidden="false"/>
    </xf>
    <xf numFmtId="164" fontId="19" fillId="2" borderId="0" xfId="0" applyFont="true" applyBorder="true" applyAlignment="true" applyProtection="false">
      <alignment horizontal="general" vertical="center" textRotation="0" wrapText="false" indent="1" shrinkToFit="false"/>
      <protection locked="true" hidden="false"/>
    </xf>
    <xf numFmtId="164" fontId="18" fillId="3" borderId="0" xfId="0" applyFont="true" applyBorder="true" applyAlignment="true" applyProtection="false">
      <alignment horizontal="general" vertical="center" textRotation="0" wrapText="false" indent="1" shrinkToFit="false"/>
      <protection locked="true" hidden="false"/>
    </xf>
    <xf numFmtId="170" fontId="13" fillId="10" borderId="1" xfId="0" applyFont="true" applyBorder="true" applyAlignment="true" applyProtection="false">
      <alignment horizontal="general" vertical="top" textRotation="0" wrapText="false" indent="0" shrinkToFit="false"/>
      <protection locked="true" hidden="false"/>
    </xf>
    <xf numFmtId="164" fontId="13" fillId="10" borderId="1" xfId="0" applyFont="true" applyBorder="true" applyAlignment="true" applyProtection="false">
      <alignment horizontal="general" vertical="top" textRotation="0" wrapText="true" indent="0" shrinkToFit="false"/>
      <protection locked="true" hidden="false"/>
    </xf>
    <xf numFmtId="164" fontId="21" fillId="2" borderId="0" xfId="0" applyFont="true" applyBorder="true" applyAlignment="true" applyProtection="false">
      <alignment horizontal="general" vertical="center" textRotation="0" wrapText="false" indent="1" shrinkToFit="false"/>
      <protection locked="true" hidden="false"/>
    </xf>
    <xf numFmtId="164" fontId="18" fillId="3" borderId="0" xfId="0" applyFont="true" applyBorder="true" applyAlignment="true" applyProtection="false">
      <alignment horizontal="general" vertical="bottom" textRotation="0" wrapText="false" indent="1" shrinkToFit="false"/>
      <protection locked="true" hidden="false"/>
    </xf>
    <xf numFmtId="164" fontId="15" fillId="9" borderId="0" xfId="0" applyFont="true" applyBorder="true" applyAlignment="false" applyProtection="false">
      <alignment horizontal="general" vertical="bottom" textRotation="0" wrapText="false" indent="0" shrinkToFit="false"/>
      <protection locked="true" hidden="false"/>
    </xf>
    <xf numFmtId="170" fontId="16" fillId="6" borderId="1" xfId="0" applyFont="true" applyBorder="true" applyAlignment="false" applyProtection="true">
      <alignment horizontal="general" vertical="bottom" textRotation="0" wrapText="false" indent="0" shrinkToFit="false"/>
      <protection locked="false" hidden="false"/>
    </xf>
    <xf numFmtId="164" fontId="17" fillId="0" borderId="0" xfId="0" applyFont="true" applyBorder="true" applyAlignment="false" applyProtection="false">
      <alignment horizontal="general" vertical="bottom" textRotation="0" wrapText="false" indent="0" shrinkToFit="false"/>
      <protection locked="true" hidden="false"/>
    </xf>
    <xf numFmtId="164" fontId="22" fillId="4" borderId="0" xfId="0" applyFont="true" applyBorder="true" applyAlignment="true" applyProtection="false">
      <alignment horizontal="general" vertical="center" textRotation="0" wrapText="false" indent="1" shrinkToFit="false"/>
      <protection locked="true" hidden="false"/>
    </xf>
    <xf numFmtId="164" fontId="12" fillId="7"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71" fontId="23" fillId="0" borderId="1" xfId="0" applyFont="true" applyBorder="true" applyAlignment="true" applyProtection="false">
      <alignment horizontal="center" vertical="center" textRotation="0" wrapText="false" indent="0" shrinkToFit="false"/>
      <protection locked="true" hidden="false"/>
    </xf>
    <xf numFmtId="172" fontId="23" fillId="0"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6" fontId="23" fillId="0" borderId="1" xfId="0" applyFont="true" applyBorder="true" applyAlignment="true" applyProtection="false">
      <alignment horizontal="center" vertical="center" textRotation="0" wrapText="false" indent="0" shrinkToFit="false"/>
      <protection locked="true" hidden="false"/>
    </xf>
    <xf numFmtId="173" fontId="23" fillId="0" borderId="1" xfId="0" applyFont="true" applyBorder="true" applyAlignment="true" applyProtection="false">
      <alignment horizontal="center" vertical="center" textRotation="0" wrapText="false" indent="0" shrinkToFit="false"/>
      <protection locked="true" hidden="false"/>
    </xf>
    <xf numFmtId="164" fontId="24" fillId="0" borderId="1" xfId="0" applyFont="true" applyBorder="true" applyAlignment="true" applyProtection="false">
      <alignment horizontal="general" vertical="center" textRotation="0" wrapText="false" indent="1" shrinkToFit="false"/>
      <protection locked="true" hidden="false"/>
    </xf>
    <xf numFmtId="171" fontId="13" fillId="0" borderId="1" xfId="0" applyFont="true" applyBorder="true" applyAlignment="true" applyProtection="false">
      <alignment horizontal="center" vertical="center" textRotation="0" wrapText="false" indent="0" shrinkToFit="false"/>
      <protection locked="true" hidden="false"/>
    </xf>
    <xf numFmtId="173" fontId="13" fillId="0" borderId="1" xfId="0" applyFont="true" applyBorder="true" applyAlignment="true" applyProtection="false">
      <alignment horizontal="center" vertical="center" textRotation="0" wrapText="false" indent="0" shrinkToFit="false"/>
      <protection locked="true" hidden="false"/>
    </xf>
    <xf numFmtId="166" fontId="13" fillId="0" borderId="1" xfId="0" applyFont="true" applyBorder="true" applyAlignment="true" applyProtection="false">
      <alignment horizontal="center" vertical="center" textRotation="0" wrapText="false" indent="0" shrinkToFit="false"/>
      <protection locked="true" hidden="false"/>
    </xf>
    <xf numFmtId="172" fontId="13" fillId="0" borderId="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9" fillId="3" borderId="1" xfId="0" applyFont="true" applyBorder="true" applyAlignment="false" applyProtection="false">
      <alignment horizontal="general" vertical="bottom" textRotation="0" wrapText="false" indent="0" shrinkToFit="false"/>
      <protection locked="true" hidden="false"/>
    </xf>
    <xf numFmtId="171" fontId="25" fillId="3" borderId="1" xfId="0" applyFont="true" applyBorder="true" applyAlignment="true" applyProtection="false">
      <alignment horizontal="center" vertical="bottom" textRotation="0" wrapText="false" indent="0" shrinkToFit="false"/>
      <protection locked="true" hidden="false"/>
    </xf>
    <xf numFmtId="173" fontId="25" fillId="3" borderId="1" xfId="0" applyFont="true" applyBorder="true" applyAlignment="true" applyProtection="false">
      <alignment horizontal="center" vertical="bottom" textRotation="0" wrapText="false" indent="0" shrinkToFit="false"/>
      <protection locked="true" hidden="false"/>
    </xf>
    <xf numFmtId="166" fontId="25" fillId="3" borderId="1" xfId="0" applyFont="true" applyBorder="true" applyAlignment="true" applyProtection="false">
      <alignment horizontal="center" vertical="bottom" textRotation="0" wrapText="false" indent="0" shrinkToFit="false"/>
      <protection locked="true" hidden="false"/>
    </xf>
    <xf numFmtId="172" fontId="25" fillId="3" borderId="1" xfId="0" applyFont="true" applyBorder="true" applyAlignment="true" applyProtection="false">
      <alignment horizontal="center" vertical="bottom" textRotation="0" wrapText="false" indent="0" shrinkToFit="false"/>
      <protection locked="true" hidden="false"/>
    </xf>
    <xf numFmtId="164" fontId="26" fillId="0" borderId="1" xfId="0" applyFont="true" applyBorder="true" applyAlignment="true" applyProtection="false">
      <alignment horizontal="general" vertical="center" textRotation="0" wrapText="true" indent="0" shrinkToFit="false"/>
      <protection locked="true" hidden="false"/>
    </xf>
    <xf numFmtId="164" fontId="27" fillId="0" borderId="0" xfId="0" applyFont="true" applyBorder="true" applyAlignment="true" applyProtection="false">
      <alignment horizontal="general" vertical="top" textRotation="0" wrapText="true" indent="0" shrinkToFit="false"/>
      <protection locked="true" hidden="false"/>
    </xf>
    <xf numFmtId="164" fontId="28" fillId="3" borderId="2" xfId="0" applyFont="true" applyBorder="true" applyAlignment="true" applyProtection="false">
      <alignment horizontal="general" vertical="center" textRotation="0" wrapText="true" indent="1" shrinkToFit="false"/>
      <protection locked="true" hidden="false"/>
    </xf>
    <xf numFmtId="164" fontId="22" fillId="4" borderId="0" xfId="0" applyFont="true" applyBorder="true" applyAlignment="false" applyProtection="false">
      <alignment horizontal="general" vertical="bottom" textRotation="0" wrapText="false" indent="0" shrinkToFit="false"/>
      <protection locked="true" hidden="false"/>
    </xf>
    <xf numFmtId="164" fontId="22" fillId="8" borderId="0" xfId="0" applyFont="true" applyBorder="true" applyAlignment="false" applyProtection="false">
      <alignment horizontal="general" vertical="bottom" textRotation="0" wrapText="false" indent="0" shrinkToFit="false"/>
      <protection locked="true" hidden="false"/>
    </xf>
    <xf numFmtId="164" fontId="12" fillId="7" borderId="1" xfId="0" applyFont="tru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left" vertical="center" textRotation="0" wrapText="false" indent="1" shrinkToFit="false"/>
      <protection locked="true" hidden="false"/>
    </xf>
    <xf numFmtId="169" fontId="13" fillId="0" borderId="1" xfId="0" applyFont="true" applyBorder="true" applyAlignment="true" applyProtection="false">
      <alignment horizontal="center" vertical="center" textRotation="0" wrapText="false" indent="0" shrinkToFit="false"/>
      <protection locked="true" hidden="false"/>
    </xf>
    <xf numFmtId="174" fontId="29" fillId="0" borderId="0" xfId="0" applyFont="true" applyBorder="false" applyAlignment="false" applyProtection="false">
      <alignment horizontal="general" vertical="bottom" textRotation="0" wrapText="false" indent="0" shrinkToFit="false"/>
      <protection locked="true" hidden="false"/>
    </xf>
    <xf numFmtId="164" fontId="24" fillId="0" borderId="1" xfId="0" applyFont="true" applyBorder="true" applyAlignment="false" applyProtection="false">
      <alignment horizontal="general" vertical="bottom" textRotation="0" wrapText="false" indent="0" shrinkToFit="false"/>
      <protection locked="true" hidden="false"/>
    </xf>
    <xf numFmtId="169" fontId="13" fillId="0" borderId="1" xfId="0" applyFont="true" applyBorder="true" applyAlignment="true" applyProtection="false">
      <alignment horizontal="center" vertical="bottom" textRotation="0" wrapText="false" indent="0" shrinkToFit="false"/>
      <protection locked="true" hidden="false"/>
    </xf>
    <xf numFmtId="166" fontId="13" fillId="0" borderId="1" xfId="0" applyFont="true" applyBorder="true" applyAlignment="true" applyProtection="false">
      <alignment horizontal="center" vertical="bottom" textRotation="0" wrapText="false" indent="0" shrinkToFit="false"/>
      <protection locked="true" hidden="false"/>
    </xf>
    <xf numFmtId="164" fontId="26" fillId="3" borderId="3" xfId="0" applyFont="true" applyBorder="true" applyAlignment="true" applyProtection="false">
      <alignment horizontal="general" vertical="top" textRotation="0" wrapText="true" indent="0" shrinkToFit="false"/>
      <protection locked="true" hidden="false"/>
    </xf>
    <xf numFmtId="169" fontId="9" fillId="3" borderId="1" xfId="0" applyFont="true" applyBorder="true" applyAlignment="true" applyProtection="false">
      <alignment horizontal="center" vertical="bottom" textRotation="0" wrapText="false" indent="0" shrinkToFit="false"/>
      <protection locked="true" hidden="false"/>
    </xf>
    <xf numFmtId="166" fontId="9" fillId="3" borderId="1" xfId="0" applyFont="true" applyBorder="true" applyAlignment="true" applyProtection="false">
      <alignment horizontal="center" vertical="bottom" textRotation="0" wrapText="false" indent="0" shrinkToFit="false"/>
      <protection locked="true" hidden="false"/>
    </xf>
    <xf numFmtId="175" fontId="25" fillId="0" borderId="1" xfId="0" applyFont="true" applyBorder="true" applyAlignment="true" applyProtection="false">
      <alignment horizontal="center" vertical="center" textRotation="0" wrapText="false" indent="0" shrinkToFit="false"/>
      <protection locked="true" hidden="false"/>
    </xf>
    <xf numFmtId="164" fontId="13" fillId="6" borderId="1" xfId="0" applyFont="true" applyBorder="true" applyAlignment="true" applyProtection="true">
      <alignment horizontal="left" vertical="center" textRotation="0" wrapText="false" indent="0" shrinkToFit="false"/>
      <protection locked="false" hidden="false"/>
    </xf>
    <xf numFmtId="164" fontId="22" fillId="4" borderId="0" xfId="0" applyFont="true" applyBorder="true" applyAlignment="true" applyProtection="false">
      <alignment horizontal="general" vertical="bottom" textRotation="0" wrapText="false" indent="1" shrinkToFit="false"/>
      <protection locked="true" hidden="false"/>
    </xf>
    <xf numFmtId="164" fontId="12" fillId="7" borderId="1" xfId="0" applyFont="true" applyBorder="true" applyAlignment="true" applyProtection="false">
      <alignment horizontal="center"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71" fontId="13" fillId="0" borderId="1" xfId="0" applyFont="true" applyBorder="true" applyAlignment="true" applyProtection="false">
      <alignment horizontal="center" vertical="bottom" textRotation="0" wrapText="false" indent="0" shrinkToFit="false"/>
      <protection locked="true" hidden="false"/>
    </xf>
    <xf numFmtId="164" fontId="13" fillId="0" borderId="1" xfId="0" applyFont="true" applyBorder="true" applyAlignment="true" applyProtection="false">
      <alignment horizontal="center" vertical="bottom" textRotation="0" wrapText="false" indent="0" shrinkToFit="false"/>
      <protection locked="true" hidden="false"/>
    </xf>
    <xf numFmtId="172" fontId="13" fillId="0" borderId="1" xfId="0" applyFont="true" applyBorder="true" applyAlignment="true" applyProtection="false">
      <alignment horizontal="center" vertical="bottom" textRotation="0" wrapText="false" indent="0" shrinkToFit="false"/>
      <protection locked="true" hidden="false"/>
    </xf>
    <xf numFmtId="164" fontId="13" fillId="5" borderId="1" xfId="0" applyFont="true" applyBorder="true" applyAlignment="true" applyProtection="true">
      <alignment horizontal="general" vertical="center" textRotation="0" wrapText="true" indent="0" shrinkToFit="false"/>
      <protection locked="false" hidden="false"/>
    </xf>
    <xf numFmtId="164" fontId="11" fillId="3" borderId="0" xfId="0" applyFont="true" applyBorder="true" applyAlignment="true" applyProtection="true">
      <alignment horizontal="general" vertical="center" textRotation="0" wrapText="true" indent="1" shrinkToFit="false"/>
      <protection locked="fals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8">
    <dxf>
      <fill>
        <patternFill patternType="solid">
          <fgColor rgb="FF8A8F8C"/>
          <bgColor rgb="FF000000"/>
        </patternFill>
      </fill>
    </dxf>
    <dxf>
      <fill>
        <patternFill patternType="solid">
          <fgColor rgb="FFF2F2F0"/>
          <bgColor rgb="FF000000"/>
        </patternFill>
      </fill>
    </dxf>
    <dxf>
      <fill>
        <patternFill patternType="solid">
          <fgColor rgb="FF1C1C1C"/>
          <bgColor rgb="FF000000"/>
        </patternFill>
      </fill>
    </dxf>
    <dxf>
      <fill>
        <patternFill patternType="solid">
          <fgColor rgb="FFFFFFFF"/>
          <bgColor rgb="FF000000"/>
        </patternFill>
      </fill>
    </dxf>
    <dxf>
      <fill>
        <patternFill patternType="solid">
          <fgColor rgb="FF0E6B75"/>
          <bgColor rgb="FF000000"/>
        </patternFill>
      </fill>
    </dxf>
    <dxf>
      <fill>
        <patternFill patternType="solid">
          <fgColor rgb="FFC4974A"/>
          <bgColor rgb="FF000000"/>
        </patternFill>
      </fill>
    </dxf>
    <dxf>
      <fill>
        <patternFill patternType="solid">
          <fgColor rgb="FFF8D7DA"/>
          <bgColor rgb="FF000000"/>
        </patternFill>
      </fill>
    </dxf>
    <dxf>
      <fill>
        <patternFill patternType="solid">
          <fgColor rgb="FFFCF3D5"/>
          <bgColor rgb="FF000000"/>
        </patternFill>
      </fill>
    </dxf>
    <dxf>
      <fill>
        <patternFill patternType="solid">
          <fgColor rgb="FFB8860B"/>
          <bgColor rgb="FF000000"/>
        </patternFill>
      </fill>
    </dxf>
    <dxf>
      <fill>
        <patternFill patternType="solid">
          <fgColor rgb="FFC0392B"/>
          <bgColor rgb="FF000000"/>
        </patternFill>
      </fill>
    </dxf>
    <dxf>
      <fill>
        <patternFill patternType="solid">
          <fgColor rgb="FFFDF0D0"/>
          <bgColor rgb="FF000000"/>
        </patternFill>
      </fill>
    </dxf>
    <dxf>
      <fill>
        <patternFill patternType="solid">
          <fgColor rgb="FF8A5A00"/>
          <bgColor rgb="FF000000"/>
        </patternFill>
      </fill>
    </dxf>
    <dxf>
      <fill>
        <patternFill patternType="solid">
          <fgColor rgb="FFD8EFE2"/>
          <bgColor rgb="FF000000"/>
        </patternFill>
      </fill>
    </dxf>
    <dxf>
      <fill>
        <patternFill patternType="solid">
          <fgColor rgb="FFFCE8D5"/>
          <bgColor rgb="FF000000"/>
        </patternFill>
      </fill>
    </dxf>
    <dxf>
      <fill>
        <patternFill patternType="solid">
          <fgColor rgb="FF1E7B4F"/>
          <bgColor rgb="FF000000"/>
        </patternFill>
      </fill>
    </dxf>
    <dxf>
      <font>
        <name val="Arial"/>
        <charset val="1"/>
        <family val="0"/>
        <b val="1"/>
        <color rgb="FFC0392B"/>
        <sz val="9"/>
      </font>
      <fill>
        <patternFill>
          <bgColor rgb="FFF8D7DA"/>
        </patternFill>
      </fill>
    </dxf>
    <dxf>
      <font>
        <name val="Arial"/>
        <charset val="1"/>
        <family val="0"/>
        <color rgb="FFB8860B"/>
        <sz val="9"/>
      </font>
      <fill>
        <patternFill>
          <bgColor rgb="FFFCE8D5"/>
        </patternFill>
      </fill>
    </dxf>
    <dxf>
      <font>
        <name val="Arial"/>
        <charset val="1"/>
        <family val="0"/>
        <color rgb="FF1E7B4F"/>
        <sz val="9"/>
      </font>
      <fill>
        <patternFill>
          <bgColor rgb="FFD8EFE2"/>
        </patternFill>
      </fill>
    </dxf>
    <dxf>
      <font>
        <name val="Arial"/>
        <charset val="1"/>
        <family val="0"/>
        <b val="1"/>
        <color rgb="FF8A5A00"/>
        <sz val="9"/>
      </font>
      <fill>
        <patternFill>
          <bgColor rgb="FFFDF0D0"/>
        </patternFill>
      </fill>
    </dxf>
    <dxf>
      <font>
        <name val="Arial"/>
        <charset val="1"/>
        <family val="0"/>
        <color rgb="FFB8860B"/>
        <sz val="9"/>
      </font>
      <fill>
        <patternFill>
          <bgColor rgb="FFFCF3D5"/>
        </patternFill>
      </fill>
    </dxf>
    <dxf>
      <font>
        <name val="Arial"/>
        <charset val="1"/>
        <family val="0"/>
        <b val="1"/>
        <color rgb="FFC0392B"/>
        <sz val="9"/>
      </font>
    </dxf>
    <dxf>
      <fill>
        <patternFill>
          <bgColor rgb="FFF8D7DA"/>
        </patternFill>
      </fill>
    </dxf>
    <dxf>
      <font>
        <name val="Arial"/>
        <charset val="1"/>
        <family val="0"/>
        <b val="1"/>
        <color rgb="FF1E7B4F"/>
        <sz val="9"/>
      </font>
      <fill>
        <patternFill>
          <bgColor rgb="FFD8EFE2"/>
        </patternFill>
      </fill>
    </dxf>
    <dxf>
      <font>
        <name val="Arial"/>
        <charset val="1"/>
        <family val="0"/>
        <b val="1"/>
        <color rgb="FFC0392B"/>
        <sz val="12"/>
      </font>
    </dxf>
    <dxf>
      <font>
        <name val="Arial"/>
        <charset val="1"/>
        <family val="0"/>
        <b val="1"/>
        <color rgb="FFB8860B"/>
        <sz val="12"/>
      </font>
    </dxf>
    <dxf>
      <fill>
        <patternFill>
          <bgColor rgb="FFFDF0D0"/>
        </patternFill>
      </fill>
    </dxf>
    <dxf>
      <font>
        <name val="Arial"/>
        <charset val="1"/>
        <family val="0"/>
        <color rgb="FFC0392B"/>
        <sz val="9"/>
      </font>
    </dxf>
    <dxf>
      <font>
        <name val="Arial"/>
        <charset val="1"/>
        <family val="0"/>
        <color rgb="FF1E7B4F"/>
        <sz val="9"/>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A5A00"/>
      <rgbColor rgb="FF800080"/>
      <rgbColor rgb="FF0E6B75"/>
      <rgbColor rgb="FFBFBAB2"/>
      <rgbColor rgb="FF878787"/>
      <rgbColor rgb="FFAAAAAA"/>
      <rgbColor rgb="FFBE4B48"/>
      <rgbColor rgb="FFFFFFCC"/>
      <rgbColor rgb="FFF2F2F0"/>
      <rgbColor rgb="FF660066"/>
      <rgbColor rgb="FFFF8080"/>
      <rgbColor rgb="FF0066CC"/>
      <rgbColor rgb="FFD9D9D9"/>
      <rgbColor rgb="FF000080"/>
      <rgbColor rgb="FFFF00FF"/>
      <rgbColor rgb="FFFFFF00"/>
      <rgbColor rgb="FF00FFFF"/>
      <rgbColor rgb="FF800080"/>
      <rgbColor rgb="FF800000"/>
      <rgbColor rgb="FF1E7B4F"/>
      <rgbColor rgb="FF0000FF"/>
      <rgbColor rgb="FF00CCFF"/>
      <rgbColor rgb="FFF7F4EF"/>
      <rgbColor rgb="FFD8EFE2"/>
      <rgbColor rgb="FFFDF0D0"/>
      <rgbColor rgb="FFFCE8D5"/>
      <rgbColor rgb="FFFCF3D5"/>
      <rgbColor rgb="FFCC99FF"/>
      <rgbColor rgb="FFF8D7DA"/>
      <rgbColor rgb="FF4A7EBB"/>
      <rgbColor rgb="FF33CCCC"/>
      <rgbColor rgb="FF98B855"/>
      <rgbColor rgb="FFFFCC00"/>
      <rgbColor rgb="FFC4974A"/>
      <rgbColor rgb="FFB8860B"/>
      <rgbColor rgb="FF5A6A6C"/>
      <rgbColor rgb="FF8A8F8C"/>
      <rgbColor rgb="FF084A52"/>
      <rgbColor rgb="FF4F81BD"/>
      <rgbColor rgb="FF003300"/>
      <rgbColor rgb="FF333300"/>
      <rgbColor rgb="FFC0392B"/>
      <rgbColor rgb="FF666666"/>
      <rgbColor rgb="FF333399"/>
      <rgbColor rgb="FF1C1C1C"/>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Pareto: root causes by case volume</a:t>
            </a:r>
          </a:p>
        </c:rich>
      </c:tx>
      <c:overlay val="0"/>
      <c:spPr>
        <a:noFill/>
        <a:ln w="0">
          <a:noFill/>
        </a:ln>
      </c:spPr>
    </c:title>
    <c:autoTitleDeleted val="0"/>
    <c:plotArea>
      <c:barChart>
        <c:barDir val="col"/>
        <c:grouping val="clustered"/>
        <c:varyColors val="0"/>
        <c:ser>
          <c:idx val="0"/>
          <c:order val="0"/>
          <c:tx>
            <c:strRef>
              <c:f>Pareto!C5</c:f>
              <c:strCache>
                <c:ptCount val="1"/>
                <c:pt idx="0">
                  <c:v>Cases</c:v>
                </c:pt>
              </c:strCache>
            </c:strRef>
          </c:tx>
          <c:spPr>
            <a:solidFill>
              <a:srgbClr val="4f81bd"/>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Pareto!$B$6:$B$17</c:f>
              <c:strCache>
                <c:ptCount val="12"/>
                <c:pt idx="0">
                  <c:v>Logistics partner SLA breach</c:v>
                </c:pt>
                <c:pt idx="1">
                  <c:v>Manual data entry</c:v>
                </c:pt>
                <c:pt idx="2">
                  <c:v>Policy / rule constraint</c:v>
                </c:pt>
                <c:pt idx="3">
                  <c:v>Ambiguous contract terms</c:v>
                </c:pt>
                <c:pt idx="4">
                  <c:v>Unclear customer communication</c:v>
                </c:pt>
                <c:pt idx="5">
                  <c:v>System incompatibility</c:v>
                </c:pt>
                <c:pt idx="6">
                  <c:v>Insufficient employee training</c:v>
                </c:pt>
                <c:pt idx="7">
                  <c:v>IT integration failure</c:v>
                </c:pt>
                <c:pt idx="8">
                  <c:v>Customer expectation mismatch</c:v>
                </c:pt>
                <c:pt idx="9">
                  <c:v>Capacity shortage</c:v>
                </c:pt>
                <c:pt idx="10">
                  <c:v>Supplier error</c:v>
                </c:pt>
                <c:pt idx="11">
                  <c:v>Unclear process instruction</c:v>
                </c:pt>
              </c:strCache>
            </c:strRef>
          </c:cat>
          <c:val>
            <c:numRef>
              <c:f>Pareto!$C$6:$C$17</c:f>
              <c:numCache>
                <c:formatCode>General</c:formatCode>
                <c:ptCount val="12"/>
                <c:pt idx="0">
                  <c:v>3</c:v>
                </c:pt>
                <c:pt idx="1">
                  <c:v>2</c:v>
                </c:pt>
                <c:pt idx="2">
                  <c:v>1</c:v>
                </c:pt>
                <c:pt idx="3">
                  <c:v>1</c:v>
                </c:pt>
                <c:pt idx="4">
                  <c:v>1</c:v>
                </c:pt>
                <c:pt idx="5">
                  <c:v>1</c:v>
                </c:pt>
                <c:pt idx="6">
                  <c:v>1</c:v>
                </c:pt>
                <c:pt idx="7">
                  <c:v>1</c:v>
                </c:pt>
                <c:pt idx="8">
                  <c:v>0</c:v>
                </c:pt>
                <c:pt idx="9">
                  <c:v>0</c:v>
                </c:pt>
                <c:pt idx="10">
                  <c:v>0</c:v>
                </c:pt>
                <c:pt idx="11">
                  <c:v>0</c:v>
                </c:pt>
              </c:numCache>
            </c:numRef>
          </c:val>
        </c:ser>
        <c:gapWidth val="150"/>
        <c:overlap val="0"/>
        <c:axId val="60579930"/>
        <c:axId val="23668588"/>
      </c:barChart>
      <c:lineChart>
        <c:grouping val="standard"/>
        <c:varyColors val="0"/>
        <c:ser>
          <c:idx val="1"/>
          <c:order val="1"/>
          <c:tx>
            <c:strRef>
              <c:f>Pareto!F5</c:f>
              <c:strCache>
                <c:ptCount val="1"/>
                <c:pt idx="0">
                  <c:v>Cumulative % of cases
(with identified cause)</c:v>
                </c:pt>
              </c:strCache>
            </c:strRef>
          </c:tx>
          <c:spPr>
            <a:solidFill>
              <a:srgbClr val="be4b48"/>
            </a:solidFill>
            <a:ln w="28440">
              <a:solidFill>
                <a:srgbClr val="be4b48"/>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Pareto!$B$6:$B$17</c:f>
              <c:strCache>
                <c:ptCount val="12"/>
                <c:pt idx="0">
                  <c:v>Logistics partner SLA breach</c:v>
                </c:pt>
                <c:pt idx="1">
                  <c:v>Manual data entry</c:v>
                </c:pt>
                <c:pt idx="2">
                  <c:v>Policy / rule constraint</c:v>
                </c:pt>
                <c:pt idx="3">
                  <c:v>Ambiguous contract terms</c:v>
                </c:pt>
                <c:pt idx="4">
                  <c:v>Unclear customer communication</c:v>
                </c:pt>
                <c:pt idx="5">
                  <c:v>System incompatibility</c:v>
                </c:pt>
                <c:pt idx="6">
                  <c:v>Insufficient employee training</c:v>
                </c:pt>
                <c:pt idx="7">
                  <c:v>IT integration failure</c:v>
                </c:pt>
                <c:pt idx="8">
                  <c:v>Customer expectation mismatch</c:v>
                </c:pt>
                <c:pt idx="9">
                  <c:v>Capacity shortage</c:v>
                </c:pt>
                <c:pt idx="10">
                  <c:v>Supplier error</c:v>
                </c:pt>
                <c:pt idx="11">
                  <c:v>Unclear process instruction</c:v>
                </c:pt>
              </c:strCache>
            </c:strRef>
          </c:cat>
          <c:val>
            <c:numRef>
              <c:f>Pareto!$F$6:$F$17</c:f>
              <c:numCache>
                <c:formatCode>0.0%</c:formatCode>
                <c:ptCount val="12"/>
                <c:pt idx="0">
                  <c:v>0.272727272727273</c:v>
                </c:pt>
                <c:pt idx="1">
                  <c:v>0.454545454545455</c:v>
                </c:pt>
                <c:pt idx="2">
                  <c:v>0.545454545454545</c:v>
                </c:pt>
                <c:pt idx="3">
                  <c:v>0.636363636363636</c:v>
                </c:pt>
                <c:pt idx="4">
                  <c:v>0.727272727272727</c:v>
                </c:pt>
                <c:pt idx="5">
                  <c:v>0.818181818181818</c:v>
                </c:pt>
                <c:pt idx="6">
                  <c:v>0.909090909090909</c:v>
                </c:pt>
                <c:pt idx="7">
                  <c:v>1</c:v>
                </c:pt>
                <c:pt idx="8">
                  <c:v>1</c:v>
                </c:pt>
                <c:pt idx="9">
                  <c:v>1</c:v>
                </c:pt>
                <c:pt idx="10">
                  <c:v>1</c:v>
                </c:pt>
                <c:pt idx="11">
                  <c:v>1</c:v>
                </c:pt>
              </c:numCache>
            </c:numRef>
          </c:val>
          <c:smooth val="1"/>
        </c:ser>
        <c:hiLowLines>
          <c:spPr>
            <a:ln w="0">
              <a:noFill/>
            </a:ln>
          </c:spPr>
        </c:hiLowLines>
        <c:marker val="0"/>
        <c:axId val="79580762"/>
        <c:axId val="22525117"/>
      </c:lineChart>
      <c:catAx>
        <c:axId val="6057993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3668588"/>
        <c:crosses val="autoZero"/>
        <c:auto val="1"/>
        <c:lblAlgn val="ctr"/>
        <c:lblOffset val="100"/>
        <c:noMultiLvlLbl val="0"/>
      </c:catAx>
      <c:valAx>
        <c:axId val="23668588"/>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Cases</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0579930"/>
        <c:crosses val="autoZero"/>
        <c:crossBetween val="between"/>
      </c:valAx>
      <c:catAx>
        <c:axId val="79580762"/>
        <c:scaling>
          <c:orientation val="minMax"/>
        </c:scaling>
        <c:delete val="0"/>
        <c:axPos val="t"/>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2525117"/>
        <c:crosses val="autoZero"/>
        <c:auto val="1"/>
        <c:lblAlgn val="ctr"/>
        <c:lblOffset val="100"/>
        <c:noMultiLvlLbl val="0"/>
      </c:catAx>
      <c:valAx>
        <c:axId val="22525117"/>
        <c:scaling>
          <c:orientation val="minMax"/>
        </c:scaling>
        <c:delete val="0"/>
        <c:axPos val="r"/>
        <c:title>
          <c:tx>
            <c:rich>
              <a:bodyPr rot="-5400000"/>
              <a:lstStyle/>
              <a:p>
                <a:pPr>
                  <a:defRPr b="1" sz="1000" spc="-1" strike="noStrike">
                    <a:solidFill>
                      <a:srgbClr val="000000"/>
                    </a:solidFill>
                    <a:latin typeface="Calibri"/>
                  </a:defRPr>
                </a:pPr>
                <a:r>
                  <a:rPr b="1" sz="1000" spc="-1" strike="noStrike">
                    <a:solidFill>
                      <a:srgbClr val="000000"/>
                    </a:solidFill>
                    <a:latin typeface="Calibri"/>
                  </a:rPr>
                  <a:t>Sukauptas %</a:t>
                </a:r>
              </a:p>
            </c:rich>
          </c:tx>
          <c:overlay val="0"/>
          <c:spPr>
            <a:noFill/>
            <a:ln w="0">
              <a:noFill/>
            </a:ln>
          </c:spPr>
        </c:title>
        <c:numFmt formatCode="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9580762"/>
        <c:crosses val="max"/>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Cases and justified complaints (24 months)</a:t>
            </a:r>
          </a:p>
        </c:rich>
      </c:tx>
      <c:overlay val="0"/>
      <c:spPr>
        <a:noFill/>
        <a:ln w="0">
          <a:noFill/>
        </a:ln>
      </c:spPr>
    </c:title>
    <c:autoTitleDeleted val="0"/>
    <c:plotArea>
      <c:lineChart>
        <c:grouping val="standard"/>
        <c:varyColors val="0"/>
        <c:ser>
          <c:idx val="0"/>
          <c:order val="0"/>
          <c:tx>
            <c:strRef>
              <c:f>Trends!C4</c:f>
              <c:strCache>
                <c:ptCount val="1"/>
                <c:pt idx="0">
                  <c:v>Cases</c:v>
                </c:pt>
              </c:strCache>
            </c:strRef>
          </c:tx>
          <c:spPr>
            <a:solidFill>
              <a:srgbClr val="4a7ebb"/>
            </a:solidFill>
            <a:ln w="28440">
              <a:solidFill>
                <a:srgbClr val="4a7ebb"/>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Trends!$B$5:$B$28</c:f>
              <c:strCache>
                <c:ptCount val="24"/>
                <c:pt idx="0">
                  <c:v>2024-08</c:v>
                </c:pt>
                <c:pt idx="1">
                  <c:v>2024-09</c:v>
                </c:pt>
                <c:pt idx="2">
                  <c:v>2024-10</c:v>
                </c:pt>
                <c:pt idx="3">
                  <c:v>2024-11</c:v>
                </c:pt>
                <c:pt idx="4">
                  <c:v>2024-12</c:v>
                </c:pt>
                <c:pt idx="5">
                  <c:v>2025-01</c:v>
                </c:pt>
                <c:pt idx="6">
                  <c:v>2025-02</c:v>
                </c:pt>
                <c:pt idx="7">
                  <c:v>2025-03</c:v>
                </c:pt>
                <c:pt idx="8">
                  <c:v>2025-04</c:v>
                </c:pt>
                <c:pt idx="9">
                  <c:v>2025-05</c:v>
                </c:pt>
                <c:pt idx="10">
                  <c:v>2025-06</c:v>
                </c:pt>
                <c:pt idx="11">
                  <c:v>2025-07</c:v>
                </c:pt>
                <c:pt idx="12">
                  <c:v>2025-08</c:v>
                </c:pt>
                <c:pt idx="13">
                  <c:v>2025-09</c:v>
                </c:pt>
                <c:pt idx="14">
                  <c:v>2025-10</c:v>
                </c:pt>
                <c:pt idx="15">
                  <c:v>2025-11</c:v>
                </c:pt>
                <c:pt idx="16">
                  <c:v>2025-12</c:v>
                </c:pt>
                <c:pt idx="17">
                  <c:v>2026-01</c:v>
                </c:pt>
                <c:pt idx="18">
                  <c:v>2026-02</c:v>
                </c:pt>
                <c:pt idx="19">
                  <c:v>2026-03</c:v>
                </c:pt>
                <c:pt idx="20">
                  <c:v>2026-04</c:v>
                </c:pt>
                <c:pt idx="21">
                  <c:v>2026-05</c:v>
                </c:pt>
                <c:pt idx="22">
                  <c:v>2026-06</c:v>
                </c:pt>
                <c:pt idx="23">
                  <c:v>2026-07</c:v>
                </c:pt>
              </c:strCache>
            </c:strRef>
          </c:cat>
          <c:val>
            <c:numRef>
              <c:f>Trends!$C$5:$C$28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3</c:v>
                </c:pt>
                <c:pt idx="22">
                  <c:v>6</c:v>
                </c:pt>
                <c:pt idx="23">
                  <c:v>3</c:v>
                </c:pt>
              </c:numCache>
            </c:numRef>
          </c:val>
          <c:smooth val="1"/>
        </c:ser>
        <c:ser>
          <c:idx val="1"/>
          <c:order val="1"/>
          <c:tx>
            <c:strRef>
              <c:f>Trends!D4</c:f>
              <c:strCache>
                <c:ptCount val="1"/>
                <c:pt idx="0">
                  <c:v>Justified
complaints</c:v>
                </c:pt>
              </c:strCache>
            </c:strRef>
          </c:tx>
          <c:spPr>
            <a:solidFill>
              <a:srgbClr val="be4b48"/>
            </a:solidFill>
            <a:ln w="28440">
              <a:solidFill>
                <a:srgbClr val="be4b48"/>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Trends!$B$5:$B$28</c:f>
              <c:strCache>
                <c:ptCount val="24"/>
                <c:pt idx="0">
                  <c:v>2024-08</c:v>
                </c:pt>
                <c:pt idx="1">
                  <c:v>2024-09</c:v>
                </c:pt>
                <c:pt idx="2">
                  <c:v>2024-10</c:v>
                </c:pt>
                <c:pt idx="3">
                  <c:v>2024-11</c:v>
                </c:pt>
                <c:pt idx="4">
                  <c:v>2024-12</c:v>
                </c:pt>
                <c:pt idx="5">
                  <c:v>2025-01</c:v>
                </c:pt>
                <c:pt idx="6">
                  <c:v>2025-02</c:v>
                </c:pt>
                <c:pt idx="7">
                  <c:v>2025-03</c:v>
                </c:pt>
                <c:pt idx="8">
                  <c:v>2025-04</c:v>
                </c:pt>
                <c:pt idx="9">
                  <c:v>2025-05</c:v>
                </c:pt>
                <c:pt idx="10">
                  <c:v>2025-06</c:v>
                </c:pt>
                <c:pt idx="11">
                  <c:v>2025-07</c:v>
                </c:pt>
                <c:pt idx="12">
                  <c:v>2025-08</c:v>
                </c:pt>
                <c:pt idx="13">
                  <c:v>2025-09</c:v>
                </c:pt>
                <c:pt idx="14">
                  <c:v>2025-10</c:v>
                </c:pt>
                <c:pt idx="15">
                  <c:v>2025-11</c:v>
                </c:pt>
                <c:pt idx="16">
                  <c:v>2025-12</c:v>
                </c:pt>
                <c:pt idx="17">
                  <c:v>2026-01</c:v>
                </c:pt>
                <c:pt idx="18">
                  <c:v>2026-02</c:v>
                </c:pt>
                <c:pt idx="19">
                  <c:v>2026-03</c:v>
                </c:pt>
                <c:pt idx="20">
                  <c:v>2026-04</c:v>
                </c:pt>
                <c:pt idx="21">
                  <c:v>2026-05</c:v>
                </c:pt>
                <c:pt idx="22">
                  <c:v>2026-06</c:v>
                </c:pt>
                <c:pt idx="23">
                  <c:v>2026-07</c:v>
                </c:pt>
              </c:strCache>
            </c:strRef>
          </c:cat>
          <c:val>
            <c:numRef>
              <c:f>Trends!$D$5:$D$28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c:v>
                </c:pt>
                <c:pt idx="22">
                  <c:v>3</c:v>
                </c:pt>
                <c:pt idx="23">
                  <c:v>1</c:v>
                </c:pt>
              </c:numCache>
            </c:numRef>
          </c:val>
          <c:smooth val="1"/>
        </c:ser>
        <c:ser>
          <c:idx val="2"/>
          <c:order val="2"/>
          <c:tx>
            <c:strRef>
              <c:f>Trends!E4</c:f>
              <c:strCache>
                <c:ptCount val="1"/>
                <c:pt idx="0">
                  <c:v>Nonconformities</c:v>
                </c:pt>
              </c:strCache>
            </c:strRef>
          </c:tx>
          <c:spPr>
            <a:solidFill>
              <a:srgbClr val="98b855"/>
            </a:solidFill>
            <a:ln w="28440">
              <a:solidFill>
                <a:srgbClr val="98b855"/>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Trends!$B$5:$B$28</c:f>
              <c:strCache>
                <c:ptCount val="24"/>
                <c:pt idx="0">
                  <c:v>2024-08</c:v>
                </c:pt>
                <c:pt idx="1">
                  <c:v>2024-09</c:v>
                </c:pt>
                <c:pt idx="2">
                  <c:v>2024-10</c:v>
                </c:pt>
                <c:pt idx="3">
                  <c:v>2024-11</c:v>
                </c:pt>
                <c:pt idx="4">
                  <c:v>2024-12</c:v>
                </c:pt>
                <c:pt idx="5">
                  <c:v>2025-01</c:v>
                </c:pt>
                <c:pt idx="6">
                  <c:v>2025-02</c:v>
                </c:pt>
                <c:pt idx="7">
                  <c:v>2025-03</c:v>
                </c:pt>
                <c:pt idx="8">
                  <c:v>2025-04</c:v>
                </c:pt>
                <c:pt idx="9">
                  <c:v>2025-05</c:v>
                </c:pt>
                <c:pt idx="10">
                  <c:v>2025-06</c:v>
                </c:pt>
                <c:pt idx="11">
                  <c:v>2025-07</c:v>
                </c:pt>
                <c:pt idx="12">
                  <c:v>2025-08</c:v>
                </c:pt>
                <c:pt idx="13">
                  <c:v>2025-09</c:v>
                </c:pt>
                <c:pt idx="14">
                  <c:v>2025-10</c:v>
                </c:pt>
                <c:pt idx="15">
                  <c:v>2025-11</c:v>
                </c:pt>
                <c:pt idx="16">
                  <c:v>2025-12</c:v>
                </c:pt>
                <c:pt idx="17">
                  <c:v>2026-01</c:v>
                </c:pt>
                <c:pt idx="18">
                  <c:v>2026-02</c:v>
                </c:pt>
                <c:pt idx="19">
                  <c:v>2026-03</c:v>
                </c:pt>
                <c:pt idx="20">
                  <c:v>2026-04</c:v>
                </c:pt>
                <c:pt idx="21">
                  <c:v>2026-05</c:v>
                </c:pt>
                <c:pt idx="22">
                  <c:v>2026-06</c:v>
                </c:pt>
                <c:pt idx="23">
                  <c:v>2026-07</c:v>
                </c:pt>
              </c:strCache>
            </c:strRef>
          </c:cat>
          <c:val>
            <c:numRef>
              <c:f>Trends!$E$5:$E$28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c:v>
                </c:pt>
                <c:pt idx="22">
                  <c:v>1</c:v>
                </c:pt>
                <c:pt idx="23">
                  <c:v>1</c:v>
                </c:pt>
              </c:numCache>
            </c:numRef>
          </c:val>
          <c:smooth val="1"/>
        </c:ser>
        <c:hiLowLines>
          <c:spPr>
            <a:ln w="0">
              <a:noFill/>
            </a:ln>
          </c:spPr>
        </c:hiLowLines>
        <c:marker val="0"/>
        <c:axId val="96385132"/>
        <c:axId val="12260590"/>
      </c:lineChart>
      <c:catAx>
        <c:axId val="96385132"/>
        <c:scaling>
          <c:orientation val="minMax"/>
        </c:scaling>
        <c:delete val="0"/>
        <c:axPos val="b"/>
        <c:numFmt formatCode="yyyy\-mm"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2260590"/>
        <c:crosses val="autoZero"/>
        <c:auto val="1"/>
        <c:lblAlgn val="ctr"/>
        <c:lblOffset val="100"/>
        <c:noMultiLvlLbl val="0"/>
      </c:catAx>
      <c:valAx>
        <c:axId val="12260590"/>
        <c:scaling>
          <c:orientation val="minMax"/>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6385132"/>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3.xml.rels><?xml version="1.0" encoding="UTF-8"?>
<Relationships xmlns="http://schemas.openxmlformats.org/package/2006/relationships"><Relationship Id="rId1" Type="http://schemas.openxmlformats.org/officeDocument/2006/relationships/chart" Target="../charts/chart1.xml"/>
</Relationships>
</file>

<file path=xl/drawings/_rels/drawing4.xml.rels><?xml version="1.0" encoding="UTF-8"?>
<Relationships xmlns="http://schemas.openxmlformats.org/package/2006/relationships"><Relationship Id="rId1"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20</xdr:row>
      <xdr:rowOff>0</xdr:rowOff>
    </xdr:from>
    <xdr:to>
      <xdr:col>8</xdr:col>
      <xdr:colOff>322200</xdr:colOff>
      <xdr:row>37</xdr:row>
      <xdr:rowOff>1080</xdr:rowOff>
    </xdr:to>
    <xdr:graphicFrame>
      <xdr:nvGraphicFramePr>
        <xdr:cNvPr id="0" name="Chart 1"/>
        <xdr:cNvGraphicFramePr/>
      </xdr:nvGraphicFramePr>
      <xdr:xfrm>
        <a:off x="281880" y="4191120"/>
        <a:ext cx="863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0</xdr:colOff>
      <xdr:row>3</xdr:row>
      <xdr:rowOff>0</xdr:rowOff>
    </xdr:from>
    <xdr:to>
      <xdr:col>24</xdr:col>
      <xdr:colOff>581400</xdr:colOff>
      <xdr:row>17</xdr:row>
      <xdr:rowOff>3240</xdr:rowOff>
    </xdr:to>
    <xdr:graphicFrame>
      <xdr:nvGraphicFramePr>
        <xdr:cNvPr id="1" name="Chart 1"/>
        <xdr:cNvGraphicFramePr/>
      </xdr:nvGraphicFramePr>
      <xdr:xfrm>
        <a:off x="10197360" y="762120"/>
        <a:ext cx="7919640" cy="287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_rels/sheet5.xml.rels><?xml version="1.0" encoding="UTF-8"?>
<Relationships xmlns="http://schemas.openxmlformats.org/package/2006/relationships"><Relationship Id="rId1" Type="http://schemas.openxmlformats.org/officeDocument/2006/relationships/drawing" Target="../drawings/drawing2.xml"/>
</Relationships>
</file>

<file path=xl/worksheets/_rels/sheet7.xml.rels><?xml version="1.0" encoding="UTF-8"?>
<Relationships xmlns="http://schemas.openxmlformats.org/package/2006/relationships"><Relationship Id="rId1" Type="http://schemas.openxmlformats.org/officeDocument/2006/relationships/drawing" Target="../drawings/drawing3.xml"/>
</Relationships>
</file>

<file path=xl/worksheets/_rels/sheet8.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4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08"/>
  </cols>
  <sheetData>
    <row r="1" customFormat="false" ht="39.75" hidden="false" customHeight="true" outlineLevel="0" collapsed="false">
      <c r="B1" s="1" t="s">
        <v>0</v>
      </c>
      <c r="C1" s="1"/>
    </row>
    <row r="2" customFormat="false" ht="21.75" hidden="false" customHeight="true" outlineLevel="0" collapsed="false">
      <c r="B2" s="2" t="s">
        <v>1</v>
      </c>
      <c r="C2" s="2"/>
    </row>
    <row r="4" customFormat="false" ht="21.75" hidden="false" customHeight="true" outlineLevel="0" collapsed="false">
      <c r="B4" s="3" t="s">
        <v>2</v>
      </c>
      <c r="C4" s="3"/>
    </row>
    <row r="5" customFormat="false" ht="27" hidden="false" customHeight="true" outlineLevel="0" collapsed="false">
      <c r="B5" s="4" t="s">
        <v>3</v>
      </c>
      <c r="C5" s="5" t="s">
        <v>4</v>
      </c>
    </row>
    <row r="6" customFormat="false" ht="15" hidden="false" customHeight="true" outlineLevel="0" collapsed="false">
      <c r="B6" s="4" t="s">
        <v>5</v>
      </c>
      <c r="C6" s="5" t="s">
        <v>6</v>
      </c>
    </row>
    <row r="7" customFormat="false" ht="15" hidden="false" customHeight="true" outlineLevel="0" collapsed="false">
      <c r="B7" s="4" t="s">
        <v>7</v>
      </c>
      <c r="C7" s="5" t="s">
        <v>8</v>
      </c>
    </row>
    <row r="8" customFormat="false" ht="27" hidden="false" customHeight="true" outlineLevel="0" collapsed="false">
      <c r="B8" s="4" t="s">
        <v>9</v>
      </c>
      <c r="C8" s="5" t="s">
        <v>10</v>
      </c>
    </row>
    <row r="10" customFormat="false" ht="21.75" hidden="false" customHeight="true" outlineLevel="0" collapsed="false">
      <c r="B10" s="3" t="s">
        <v>11</v>
      </c>
      <c r="C10" s="3"/>
    </row>
    <row r="11" customFormat="false" ht="27" hidden="false" customHeight="true" outlineLevel="0" collapsed="false">
      <c r="B11" s="4" t="s">
        <v>12</v>
      </c>
      <c r="C11" s="5" t="s">
        <v>13</v>
      </c>
    </row>
    <row r="12" customFormat="false" ht="27" hidden="false" customHeight="true" outlineLevel="0" collapsed="false">
      <c r="B12" s="4" t="s">
        <v>14</v>
      </c>
      <c r="C12" s="5" t="s">
        <v>15</v>
      </c>
    </row>
    <row r="13" customFormat="false" ht="27" hidden="false" customHeight="true" outlineLevel="0" collapsed="false">
      <c r="B13" s="4" t="s">
        <v>16</v>
      </c>
      <c r="C13" s="5" t="s">
        <v>17</v>
      </c>
    </row>
    <row r="14" customFormat="false" ht="27" hidden="false" customHeight="true" outlineLevel="0" collapsed="false">
      <c r="B14" s="4" t="s">
        <v>18</v>
      </c>
      <c r="C14" s="5" t="s">
        <v>19</v>
      </c>
    </row>
    <row r="16" customFormat="false" ht="21.75" hidden="false" customHeight="true" outlineLevel="0" collapsed="false">
      <c r="B16" s="3" t="s">
        <v>20</v>
      </c>
      <c r="C16" s="3"/>
    </row>
    <row r="17" customFormat="false" ht="27" hidden="false" customHeight="true" outlineLevel="0" collapsed="false">
      <c r="B17" s="4" t="s">
        <v>21</v>
      </c>
      <c r="C17" s="6" t="s">
        <v>22</v>
      </c>
    </row>
    <row r="19" customFormat="false" ht="27" hidden="false" customHeight="true" outlineLevel="0" collapsed="false">
      <c r="B19" s="4" t="s">
        <v>23</v>
      </c>
      <c r="C19" s="6" t="s">
        <v>24</v>
      </c>
    </row>
    <row r="21" customFormat="false" ht="27" hidden="false" customHeight="true" outlineLevel="0" collapsed="false">
      <c r="B21" s="4" t="s">
        <v>25</v>
      </c>
      <c r="C21" s="6" t="s">
        <v>26</v>
      </c>
    </row>
    <row r="23" customFormat="false" ht="21.75" hidden="false" customHeight="true" outlineLevel="0" collapsed="false">
      <c r="B23" s="3" t="s">
        <v>27</v>
      </c>
      <c r="C23" s="3"/>
    </row>
    <row r="24" customFormat="false" ht="15" hidden="false" customHeight="true" outlineLevel="0" collapsed="false">
      <c r="B24" s="4" t="s">
        <v>28</v>
      </c>
      <c r="C24" s="5" t="s">
        <v>29</v>
      </c>
    </row>
    <row r="25" customFormat="false" ht="27" hidden="false" customHeight="true" outlineLevel="0" collapsed="false">
      <c r="B25" s="4" t="s">
        <v>30</v>
      </c>
      <c r="C25" s="5" t="s">
        <v>31</v>
      </c>
    </row>
    <row r="26" customFormat="false" ht="27" hidden="false" customHeight="true" outlineLevel="0" collapsed="false">
      <c r="B26" s="4" t="s">
        <v>32</v>
      </c>
      <c r="C26" s="5" t="s">
        <v>33</v>
      </c>
    </row>
    <row r="27" customFormat="false" ht="39" hidden="false" customHeight="true" outlineLevel="0" collapsed="false">
      <c r="B27" s="4" t="s">
        <v>34</v>
      </c>
      <c r="C27" s="6" t="s">
        <v>35</v>
      </c>
    </row>
    <row r="29" customFormat="false" ht="21.75" hidden="false" customHeight="true" outlineLevel="0" collapsed="false">
      <c r="B29" s="3" t="s">
        <v>36</v>
      </c>
      <c r="C29" s="3"/>
    </row>
    <row r="30" customFormat="false" ht="15" hidden="false" customHeight="true" outlineLevel="0" collapsed="false">
      <c r="B30" s="4" t="s">
        <v>37</v>
      </c>
      <c r="C30" s="5" t="s">
        <v>38</v>
      </c>
    </row>
    <row r="31" customFormat="false" ht="15" hidden="false" customHeight="true" outlineLevel="0" collapsed="false">
      <c r="B31" s="4" t="s">
        <v>39</v>
      </c>
      <c r="C31" s="5" t="s">
        <v>40</v>
      </c>
    </row>
    <row r="32" customFormat="false" ht="15" hidden="false" customHeight="true" outlineLevel="0" collapsed="false">
      <c r="B32" s="4" t="s">
        <v>41</v>
      </c>
      <c r="C32" s="5" t="s">
        <v>42</v>
      </c>
    </row>
    <row r="33" customFormat="false" ht="15" hidden="false" customHeight="true" outlineLevel="0" collapsed="false">
      <c r="B33" s="4" t="s">
        <v>43</v>
      </c>
      <c r="C33" s="5" t="s">
        <v>44</v>
      </c>
    </row>
    <row r="34" customFormat="false" ht="15" hidden="false" customHeight="true" outlineLevel="0" collapsed="false">
      <c r="B34" s="4" t="s">
        <v>45</v>
      </c>
      <c r="C34" s="5" t="s">
        <v>46</v>
      </c>
    </row>
    <row r="35" customFormat="false" ht="15" hidden="false" customHeight="true" outlineLevel="0" collapsed="false">
      <c r="B35" s="4" t="s">
        <v>47</v>
      </c>
      <c r="C35" s="5" t="s">
        <v>48</v>
      </c>
    </row>
    <row r="36" customFormat="false" ht="27" hidden="false" customHeight="true" outlineLevel="0" collapsed="false">
      <c r="B36" s="4" t="s">
        <v>49</v>
      </c>
      <c r="C36" s="5" t="s">
        <v>50</v>
      </c>
    </row>
    <row r="39" customFormat="false" ht="21.75" hidden="false" customHeight="true" outlineLevel="0" collapsed="false">
      <c r="B39" s="3" t="s">
        <v>51</v>
      </c>
      <c r="C39" s="3"/>
    </row>
    <row r="40" customFormat="false" ht="39" hidden="false" customHeight="true" outlineLevel="0" collapsed="false">
      <c r="B40" s="4" t="s">
        <v>52</v>
      </c>
      <c r="C40" s="6" t="s">
        <v>53</v>
      </c>
    </row>
    <row r="42" customFormat="false" ht="21.75" hidden="false" customHeight="true" outlineLevel="0" collapsed="false">
      <c r="B42" s="3" t="s">
        <v>54</v>
      </c>
      <c r="C42" s="3"/>
    </row>
    <row r="43" customFormat="false" ht="15" hidden="false" customHeight="true" outlineLevel="0" collapsed="false">
      <c r="B43" s="4" t="s">
        <v>55</v>
      </c>
      <c r="C43" s="5" t="s">
        <v>56</v>
      </c>
    </row>
    <row r="44" customFormat="false" ht="27" hidden="false" customHeight="true" outlineLevel="0" collapsed="false">
      <c r="B44" s="4" t="s">
        <v>57</v>
      </c>
      <c r="C44" s="5" t="s">
        <v>58</v>
      </c>
    </row>
    <row r="45" customFormat="false" ht="15" hidden="false" customHeight="true" outlineLevel="0" collapsed="false">
      <c r="B45" s="4" t="s">
        <v>59</v>
      </c>
      <c r="C45" s="5" t="s">
        <v>60</v>
      </c>
    </row>
    <row r="46" customFormat="false" ht="39" hidden="false" customHeight="true" outlineLevel="0" collapsed="false">
      <c r="B46" s="4" t="s">
        <v>61</v>
      </c>
      <c r="C46" s="6" t="s">
        <v>62</v>
      </c>
    </row>
    <row r="48" customFormat="false" ht="27" hidden="false" customHeight="true" outlineLevel="0" collapsed="false">
      <c r="B48" s="4" t="s">
        <v>63</v>
      </c>
      <c r="C48" s="5" t="s">
        <v>64</v>
      </c>
    </row>
  </sheetData>
  <sheetProtection sheet="true" formatColumns="false" formatRows="false" sort="false" autoFilter="false"/>
  <mergeCells count="9">
    <mergeCell ref="B1:C1"/>
    <mergeCell ref="B2:C2"/>
    <mergeCell ref="B4:C4"/>
    <mergeCell ref="B10:C10"/>
    <mergeCell ref="B16:C16"/>
    <mergeCell ref="B23:C23"/>
    <mergeCell ref="B29:C29"/>
    <mergeCell ref="B39:C39"/>
    <mergeCell ref="B42:C4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7" min="1" style="0" width="26"/>
  </cols>
  <sheetData>
    <row r="1" customFormat="false" ht="15" hidden="false" customHeight="false" outlineLevel="0" collapsed="false">
      <c r="A1" s="7" t="s">
        <v>65</v>
      </c>
    </row>
    <row r="2" customFormat="false" ht="15" hidden="false" customHeight="false" outlineLevel="0" collapsed="false">
      <c r="A2" s="8" t="s">
        <v>66</v>
      </c>
    </row>
    <row r="4" customFormat="false" ht="15" hidden="false" customHeight="false" outlineLevel="0" collapsed="false">
      <c r="A4" s="9" t="s">
        <v>67</v>
      </c>
      <c r="B4" s="9" t="s">
        <v>68</v>
      </c>
      <c r="C4" s="9" t="s">
        <v>69</v>
      </c>
      <c r="D4" s="9" t="s">
        <v>70</v>
      </c>
      <c r="E4" s="9" t="s">
        <v>71</v>
      </c>
      <c r="F4" s="9" t="s">
        <v>72</v>
      </c>
      <c r="G4" s="9" t="s">
        <v>73</v>
      </c>
      <c r="H4" s="9" t="s">
        <v>74</v>
      </c>
      <c r="I4" s="9" t="s">
        <v>75</v>
      </c>
      <c r="J4" s="9" t="s">
        <v>76</v>
      </c>
      <c r="K4" s="9" t="s">
        <v>77</v>
      </c>
      <c r="L4" s="9" t="s">
        <v>78</v>
      </c>
      <c r="M4" s="9" t="s">
        <v>79</v>
      </c>
      <c r="N4" s="9" t="s">
        <v>80</v>
      </c>
      <c r="O4" s="9" t="s">
        <v>81</v>
      </c>
      <c r="P4" s="9" t="s">
        <v>82</v>
      </c>
      <c r="Q4" s="9" t="s">
        <v>83</v>
      </c>
    </row>
    <row r="5" customFormat="false" ht="15" hidden="false" customHeight="false" outlineLevel="0" collapsed="false">
      <c r="A5" s="10" t="s">
        <v>84</v>
      </c>
      <c r="B5" s="10" t="s">
        <v>85</v>
      </c>
      <c r="C5" s="10" t="s">
        <v>86</v>
      </c>
      <c r="D5" s="10" t="s">
        <v>87</v>
      </c>
      <c r="E5" s="10" t="s">
        <v>88</v>
      </c>
      <c r="F5" s="10" t="s">
        <v>89</v>
      </c>
      <c r="G5" s="10" t="s">
        <v>90</v>
      </c>
      <c r="H5" s="10" t="s">
        <v>91</v>
      </c>
      <c r="I5" s="10" t="s">
        <v>92</v>
      </c>
      <c r="J5" s="10" t="s">
        <v>93</v>
      </c>
      <c r="K5" s="10" t="s">
        <v>94</v>
      </c>
      <c r="L5" s="10" t="s">
        <v>94</v>
      </c>
      <c r="M5" s="10" t="n">
        <v>1</v>
      </c>
      <c r="N5" s="10" t="s">
        <v>95</v>
      </c>
      <c r="O5" s="10" t="s">
        <v>96</v>
      </c>
      <c r="P5" s="10" t="s">
        <v>97</v>
      </c>
      <c r="Q5" s="10" t="s">
        <v>98</v>
      </c>
    </row>
    <row r="6" customFormat="false" ht="15" hidden="false" customHeight="false" outlineLevel="0" collapsed="false">
      <c r="A6" s="10" t="s">
        <v>99</v>
      </c>
      <c r="B6" s="10" t="s">
        <v>100</v>
      </c>
      <c r="C6" s="10" t="s">
        <v>101</v>
      </c>
      <c r="D6" s="10" t="s">
        <v>102</v>
      </c>
      <c r="E6" s="10" t="s">
        <v>87</v>
      </c>
      <c r="F6" s="10" t="s">
        <v>103</v>
      </c>
      <c r="G6" s="10" t="s">
        <v>104</v>
      </c>
      <c r="H6" s="10" t="s">
        <v>105</v>
      </c>
      <c r="I6" s="10" t="s">
        <v>106</v>
      </c>
      <c r="J6" s="10" t="s">
        <v>107</v>
      </c>
      <c r="K6" s="10" t="s">
        <v>108</v>
      </c>
      <c r="L6" s="10" t="s">
        <v>108</v>
      </c>
      <c r="M6" s="10" t="n">
        <v>2</v>
      </c>
      <c r="N6" s="10" t="s">
        <v>109</v>
      </c>
      <c r="O6" s="10" t="s">
        <v>110</v>
      </c>
      <c r="P6" s="10" t="s">
        <v>111</v>
      </c>
      <c r="Q6" s="10" t="s">
        <v>112</v>
      </c>
    </row>
    <row r="7" customFormat="false" ht="15" hidden="false" customHeight="false" outlineLevel="0" collapsed="false">
      <c r="A7" s="10" t="s">
        <v>113</v>
      </c>
      <c r="B7" s="10" t="s">
        <v>109</v>
      </c>
      <c r="C7" s="10" t="s">
        <v>114</v>
      </c>
      <c r="D7" s="10" t="s">
        <v>115</v>
      </c>
      <c r="E7" s="10" t="s">
        <v>116</v>
      </c>
      <c r="F7" s="10" t="s">
        <v>117</v>
      </c>
      <c r="G7" s="10" t="s">
        <v>118</v>
      </c>
      <c r="H7" s="10" t="s">
        <v>119</v>
      </c>
      <c r="I7" s="10" t="s">
        <v>120</v>
      </c>
      <c r="J7" s="10" t="s">
        <v>121</v>
      </c>
      <c r="K7" s="11"/>
      <c r="L7" s="10" t="s">
        <v>122</v>
      </c>
      <c r="M7" s="10" t="n">
        <v>3</v>
      </c>
      <c r="N7" s="10" t="s">
        <v>123</v>
      </c>
      <c r="O7" s="10" t="s">
        <v>124</v>
      </c>
      <c r="P7" s="10" t="s">
        <v>125</v>
      </c>
      <c r="Q7" s="10" t="s">
        <v>126</v>
      </c>
    </row>
    <row r="8" customFormat="false" ht="15" hidden="false" customHeight="false" outlineLevel="0" collapsed="false">
      <c r="A8" s="10" t="s">
        <v>127</v>
      </c>
      <c r="B8" s="10" t="s">
        <v>128</v>
      </c>
      <c r="C8" s="10" t="s">
        <v>129</v>
      </c>
      <c r="D8" s="10" t="s">
        <v>130</v>
      </c>
      <c r="E8" s="10" t="s">
        <v>131</v>
      </c>
      <c r="F8" s="10" t="s">
        <v>132</v>
      </c>
      <c r="G8" s="10" t="s">
        <v>133</v>
      </c>
      <c r="H8" s="10" t="s">
        <v>134</v>
      </c>
      <c r="I8" s="10" t="s">
        <v>135</v>
      </c>
      <c r="J8" s="10" t="s">
        <v>136</v>
      </c>
      <c r="K8" s="11"/>
      <c r="L8" s="11"/>
      <c r="M8" s="10" t="n">
        <v>4</v>
      </c>
      <c r="N8" s="11"/>
      <c r="O8" s="10" t="s">
        <v>137</v>
      </c>
      <c r="P8" s="10" t="s">
        <v>138</v>
      </c>
      <c r="Q8" s="11"/>
    </row>
    <row r="9" customFormat="false" ht="15" hidden="false" customHeight="false" outlineLevel="0" collapsed="false">
      <c r="A9" s="10" t="s">
        <v>139</v>
      </c>
      <c r="B9" s="10" t="s">
        <v>140</v>
      </c>
      <c r="C9" s="11"/>
      <c r="D9" s="10" t="s">
        <v>141</v>
      </c>
      <c r="E9" s="10" t="s">
        <v>142</v>
      </c>
      <c r="F9" s="10" t="s">
        <v>143</v>
      </c>
      <c r="G9" s="10" t="s">
        <v>144</v>
      </c>
      <c r="H9" s="10" t="s">
        <v>145</v>
      </c>
      <c r="I9" s="10" t="s">
        <v>146</v>
      </c>
      <c r="J9" s="10" t="s">
        <v>147</v>
      </c>
      <c r="K9" s="11"/>
      <c r="L9" s="11"/>
      <c r="M9" s="10" t="n">
        <v>5</v>
      </c>
      <c r="N9" s="11"/>
      <c r="O9" s="10" t="s">
        <v>148</v>
      </c>
      <c r="P9" s="10" t="s">
        <v>149</v>
      </c>
      <c r="Q9" s="11"/>
    </row>
    <row r="10" customFormat="false" ht="15" hidden="false" customHeight="false" outlineLevel="0" collapsed="false">
      <c r="A10" s="10" t="s">
        <v>150</v>
      </c>
      <c r="B10" s="11"/>
      <c r="C10" s="11"/>
      <c r="D10" s="10" t="s">
        <v>151</v>
      </c>
      <c r="E10" s="10" t="s">
        <v>152</v>
      </c>
      <c r="F10" s="10" t="s">
        <v>153</v>
      </c>
      <c r="G10" s="10" t="s">
        <v>154</v>
      </c>
      <c r="H10" s="10" t="s">
        <v>155</v>
      </c>
      <c r="I10" s="10" t="s">
        <v>156</v>
      </c>
      <c r="J10" s="11"/>
      <c r="K10" s="11"/>
      <c r="L10" s="11"/>
      <c r="M10" s="11"/>
      <c r="N10" s="11"/>
      <c r="O10" s="10" t="s">
        <v>157</v>
      </c>
      <c r="P10" s="10" t="s">
        <v>158</v>
      </c>
      <c r="Q10" s="11"/>
    </row>
    <row r="11" customFormat="false" ht="15" hidden="false" customHeight="false" outlineLevel="0" collapsed="false">
      <c r="A11" s="10" t="s">
        <v>159</v>
      </c>
      <c r="B11" s="11"/>
      <c r="C11" s="11"/>
      <c r="D11" s="10" t="s">
        <v>160</v>
      </c>
      <c r="E11" s="10" t="s">
        <v>161</v>
      </c>
      <c r="F11" s="10" t="s">
        <v>162</v>
      </c>
      <c r="G11" s="10" t="s">
        <v>158</v>
      </c>
      <c r="H11" s="10" t="s">
        <v>163</v>
      </c>
      <c r="I11" s="10" t="s">
        <v>164</v>
      </c>
      <c r="J11" s="11"/>
      <c r="K11" s="11"/>
      <c r="L11" s="11"/>
      <c r="M11" s="11"/>
      <c r="N11" s="11"/>
      <c r="O11" s="11"/>
      <c r="P11" s="10" t="s">
        <v>165</v>
      </c>
      <c r="Q11" s="11"/>
    </row>
    <row r="12" customFormat="false" ht="15" hidden="false" customHeight="false" outlineLevel="0" collapsed="false">
      <c r="A12" s="11"/>
      <c r="B12" s="11"/>
      <c r="C12" s="11"/>
      <c r="D12" s="10" t="s">
        <v>166</v>
      </c>
      <c r="E12" s="10" t="s">
        <v>102</v>
      </c>
      <c r="F12" s="10" t="s">
        <v>167</v>
      </c>
      <c r="G12" s="11"/>
      <c r="H12" s="10" t="s">
        <v>168</v>
      </c>
      <c r="I12" s="11"/>
      <c r="J12" s="11"/>
      <c r="K12" s="11"/>
      <c r="L12" s="11"/>
      <c r="M12" s="11"/>
      <c r="N12" s="11"/>
      <c r="O12" s="11"/>
      <c r="P12" s="11"/>
      <c r="Q12" s="11"/>
    </row>
    <row r="13" customFormat="false" ht="15" hidden="false" customHeight="false" outlineLevel="0" collapsed="false">
      <c r="A13" s="11"/>
      <c r="B13" s="11"/>
      <c r="C13" s="11"/>
      <c r="D13" s="11"/>
      <c r="E13" s="10" t="s">
        <v>169</v>
      </c>
      <c r="F13" s="10" t="s">
        <v>159</v>
      </c>
      <c r="G13" s="11"/>
      <c r="H13" s="10" t="s">
        <v>170</v>
      </c>
      <c r="I13" s="11"/>
      <c r="J13" s="11"/>
      <c r="K13" s="11"/>
      <c r="L13" s="11"/>
      <c r="M13" s="11"/>
      <c r="N13" s="11"/>
      <c r="O13" s="11"/>
      <c r="P13" s="11"/>
      <c r="Q13" s="11"/>
    </row>
    <row r="14" customFormat="false" ht="15" hidden="false" customHeight="false" outlineLevel="0" collapsed="false">
      <c r="A14" s="11"/>
      <c r="B14" s="11"/>
      <c r="C14" s="11"/>
      <c r="D14" s="11"/>
      <c r="E14" s="10" t="s">
        <v>171</v>
      </c>
      <c r="F14" s="11"/>
      <c r="G14" s="11"/>
      <c r="H14" s="10" t="s">
        <v>172</v>
      </c>
      <c r="I14" s="11"/>
      <c r="J14" s="11"/>
      <c r="K14" s="11"/>
      <c r="L14" s="11"/>
      <c r="M14" s="11"/>
      <c r="N14" s="11"/>
      <c r="O14" s="11"/>
      <c r="P14" s="11"/>
      <c r="Q14" s="11"/>
    </row>
    <row r="15" customFormat="false" ht="15" hidden="false" customHeight="false" outlineLevel="0" collapsed="false">
      <c r="A15" s="11"/>
      <c r="B15" s="11"/>
      <c r="C15" s="11"/>
      <c r="D15" s="11"/>
      <c r="E15" s="10" t="s">
        <v>173</v>
      </c>
      <c r="F15" s="11"/>
      <c r="G15" s="11"/>
      <c r="H15" s="10" t="s">
        <v>174</v>
      </c>
      <c r="I15" s="11"/>
      <c r="J15" s="11"/>
      <c r="K15" s="11"/>
      <c r="L15" s="11"/>
      <c r="M15" s="11"/>
      <c r="N15" s="11"/>
      <c r="O15" s="11"/>
      <c r="P15" s="11"/>
      <c r="Q15" s="11"/>
    </row>
    <row r="16" customFormat="false" ht="15" hidden="false" customHeight="false" outlineLevel="0" collapsed="false">
      <c r="A16" s="11"/>
      <c r="B16" s="11"/>
      <c r="C16" s="11"/>
      <c r="D16" s="11"/>
      <c r="E16" s="11"/>
      <c r="F16" s="11"/>
      <c r="G16" s="11"/>
      <c r="H16" s="10" t="s">
        <v>175</v>
      </c>
      <c r="I16" s="11"/>
      <c r="J16" s="11"/>
      <c r="K16" s="11"/>
      <c r="L16" s="11"/>
      <c r="M16" s="11"/>
      <c r="N16" s="11"/>
      <c r="O16" s="11"/>
      <c r="P16" s="11"/>
      <c r="Q16" s="11"/>
    </row>
    <row r="17" customFormat="false" ht="15" hidden="false" customHeight="false" outlineLevel="0" collapsed="false">
      <c r="A17" s="11"/>
      <c r="B17" s="11"/>
      <c r="C17" s="11"/>
      <c r="D17" s="11"/>
      <c r="E17" s="11"/>
      <c r="F17" s="11"/>
      <c r="G17" s="11"/>
      <c r="H17" s="11"/>
      <c r="I17" s="11"/>
      <c r="J17" s="11"/>
      <c r="K17" s="11"/>
      <c r="L17" s="11"/>
      <c r="M17" s="11"/>
      <c r="N17" s="11"/>
      <c r="O17" s="11"/>
      <c r="P17" s="11"/>
      <c r="Q17" s="11"/>
    </row>
    <row r="18" customFormat="false" ht="15" hidden="false" customHeight="false" outlineLevel="0" collapsed="false">
      <c r="A18" s="11"/>
      <c r="B18" s="11"/>
      <c r="C18" s="11"/>
      <c r="D18" s="11"/>
      <c r="E18" s="11"/>
      <c r="F18" s="11"/>
      <c r="G18" s="11"/>
      <c r="H18" s="11"/>
      <c r="I18" s="11"/>
      <c r="J18" s="11"/>
      <c r="K18" s="11"/>
      <c r="L18" s="11"/>
      <c r="M18" s="11"/>
      <c r="N18" s="11"/>
      <c r="O18" s="11"/>
      <c r="P18" s="11"/>
      <c r="Q18" s="11"/>
    </row>
    <row r="19" customFormat="false" ht="15" hidden="false" customHeight="false" outlineLevel="0" collapsed="false">
      <c r="A19" s="11"/>
      <c r="B19" s="11"/>
      <c r="C19" s="11"/>
      <c r="D19" s="11"/>
      <c r="E19" s="11"/>
      <c r="F19" s="11"/>
      <c r="G19" s="11"/>
      <c r="H19" s="11"/>
      <c r="I19" s="11"/>
      <c r="J19" s="11"/>
      <c r="K19" s="11"/>
      <c r="L19" s="11"/>
      <c r="M19" s="11"/>
      <c r="N19" s="11"/>
      <c r="O19" s="11"/>
      <c r="P19" s="11"/>
      <c r="Q19" s="11"/>
    </row>
    <row r="20" customFormat="false" ht="15" hidden="false" customHeight="false" outlineLevel="0" collapsed="false">
      <c r="A20" s="11"/>
      <c r="B20" s="11"/>
      <c r="C20" s="11"/>
      <c r="D20" s="11"/>
      <c r="E20" s="11"/>
      <c r="F20" s="11"/>
      <c r="G20" s="11"/>
      <c r="H20" s="11"/>
      <c r="I20" s="11"/>
      <c r="J20" s="11"/>
      <c r="K20" s="11"/>
      <c r="L20" s="11"/>
      <c r="M20" s="11"/>
      <c r="N20" s="11"/>
      <c r="O20" s="11"/>
      <c r="P20" s="11"/>
      <c r="Q20" s="11"/>
    </row>
    <row r="21" customFormat="false" ht="15" hidden="false" customHeight="false" outlineLevel="0" collapsed="false">
      <c r="A21" s="11"/>
      <c r="B21" s="11"/>
      <c r="C21" s="11"/>
      <c r="D21" s="11"/>
      <c r="E21" s="11"/>
      <c r="F21" s="11"/>
      <c r="G21" s="11"/>
      <c r="H21" s="11"/>
      <c r="I21" s="11"/>
      <c r="J21" s="11"/>
      <c r="K21" s="11"/>
      <c r="L21" s="11"/>
      <c r="M21" s="11"/>
      <c r="N21" s="11"/>
      <c r="O21" s="11"/>
      <c r="P21" s="11"/>
      <c r="Q21" s="11"/>
    </row>
    <row r="22" customFormat="false" ht="15" hidden="false" customHeight="false" outlineLevel="0" collapsed="false">
      <c r="A22" s="11"/>
      <c r="B22" s="11"/>
      <c r="C22" s="11"/>
      <c r="D22" s="11"/>
      <c r="E22" s="11"/>
      <c r="F22" s="11"/>
      <c r="G22" s="11"/>
      <c r="H22" s="11"/>
      <c r="I22" s="11"/>
      <c r="J22" s="11"/>
      <c r="K22" s="11"/>
      <c r="L22" s="11"/>
      <c r="M22" s="11"/>
      <c r="N22" s="11"/>
      <c r="O22" s="11"/>
      <c r="P22" s="11"/>
      <c r="Q22" s="11"/>
    </row>
    <row r="23" customFormat="false" ht="15" hidden="false" customHeight="false" outlineLevel="0" collapsed="false">
      <c r="A23" s="11"/>
      <c r="B23" s="11"/>
      <c r="C23" s="11"/>
      <c r="D23" s="11"/>
      <c r="E23" s="11"/>
      <c r="F23" s="11"/>
      <c r="G23" s="11"/>
      <c r="H23" s="11"/>
      <c r="I23" s="11"/>
      <c r="J23" s="11"/>
      <c r="K23" s="11"/>
      <c r="L23" s="11"/>
      <c r="M23" s="11"/>
      <c r="N23" s="11"/>
      <c r="O23" s="11"/>
      <c r="P23" s="11"/>
      <c r="Q23" s="11"/>
    </row>
    <row r="24" customFormat="false" ht="15" hidden="false" customHeight="false" outlineLevel="0" collapsed="false">
      <c r="A24" s="11"/>
      <c r="B24" s="11"/>
      <c r="C24" s="11"/>
      <c r="D24" s="11"/>
      <c r="E24" s="11"/>
      <c r="F24" s="11"/>
      <c r="G24" s="11"/>
      <c r="H24" s="11"/>
      <c r="I24" s="11"/>
      <c r="J24" s="11"/>
      <c r="K24" s="11"/>
      <c r="L24" s="11"/>
      <c r="M24" s="11"/>
      <c r="N24" s="11"/>
      <c r="O24" s="11"/>
      <c r="P24" s="11"/>
      <c r="Q24" s="11"/>
    </row>
    <row r="25" customFormat="false" ht="15" hidden="false" customHeight="false" outlineLevel="0" collapsed="false">
      <c r="A25" s="11"/>
      <c r="B25" s="11"/>
      <c r="C25" s="11"/>
      <c r="D25" s="11"/>
      <c r="E25" s="11"/>
      <c r="F25" s="11"/>
      <c r="G25" s="11"/>
      <c r="H25" s="11"/>
      <c r="I25" s="11"/>
      <c r="J25" s="11"/>
      <c r="K25" s="11"/>
      <c r="L25" s="11"/>
      <c r="M25" s="11"/>
      <c r="N25" s="11"/>
      <c r="O25" s="11"/>
      <c r="P25" s="11"/>
      <c r="Q25" s="11"/>
    </row>
    <row r="26" customFormat="false" ht="15" hidden="false" customHeight="false" outlineLevel="0" collapsed="false">
      <c r="A26" s="11"/>
      <c r="B26" s="11"/>
      <c r="C26" s="11"/>
      <c r="D26" s="11"/>
      <c r="E26" s="11"/>
      <c r="F26" s="11"/>
      <c r="G26" s="11"/>
      <c r="H26" s="11"/>
      <c r="I26" s="11"/>
      <c r="J26" s="11"/>
      <c r="K26" s="11"/>
      <c r="L26" s="11"/>
      <c r="M26" s="11"/>
      <c r="N26" s="11"/>
      <c r="O26" s="11"/>
      <c r="P26" s="11"/>
      <c r="Q26" s="11"/>
    </row>
    <row r="27" customFormat="false" ht="15" hidden="false" customHeight="false" outlineLevel="0" collapsed="false">
      <c r="A27" s="11"/>
      <c r="B27" s="11"/>
      <c r="C27" s="11"/>
      <c r="D27" s="11"/>
      <c r="E27" s="11"/>
      <c r="F27" s="11"/>
      <c r="G27" s="11"/>
      <c r="H27" s="11"/>
      <c r="I27" s="11"/>
      <c r="J27" s="11"/>
      <c r="K27" s="11"/>
      <c r="L27" s="11"/>
      <c r="M27" s="11"/>
      <c r="N27" s="11"/>
      <c r="O27" s="11"/>
      <c r="P27" s="11"/>
      <c r="Q27" s="11"/>
    </row>
    <row r="28" customFormat="false" ht="15" hidden="false" customHeight="false" outlineLevel="0" collapsed="false">
      <c r="A28" s="11"/>
      <c r="B28" s="11"/>
      <c r="C28" s="11"/>
      <c r="D28" s="11"/>
      <c r="E28" s="11"/>
      <c r="F28" s="11"/>
      <c r="G28" s="11"/>
      <c r="H28" s="11"/>
      <c r="I28" s="11"/>
      <c r="J28" s="11"/>
      <c r="K28" s="11"/>
      <c r="L28" s="11"/>
      <c r="M28" s="11"/>
      <c r="N28" s="11"/>
      <c r="O28" s="11"/>
      <c r="P28" s="11"/>
      <c r="Q28" s="11"/>
    </row>
    <row r="29" customFormat="false" ht="15" hidden="false" customHeight="false" outlineLevel="0" collapsed="false">
      <c r="A29" s="11"/>
      <c r="B29" s="11"/>
      <c r="C29" s="11"/>
      <c r="D29" s="11"/>
      <c r="E29" s="11"/>
      <c r="F29" s="11"/>
      <c r="G29" s="11"/>
      <c r="H29" s="11"/>
      <c r="I29" s="11"/>
      <c r="J29" s="11"/>
      <c r="K29" s="11"/>
      <c r="L29" s="11"/>
      <c r="M29" s="11"/>
      <c r="N29" s="11"/>
      <c r="O29" s="11"/>
      <c r="P29" s="11"/>
      <c r="Q29" s="11"/>
    </row>
    <row r="30" customFormat="false" ht="15" hidden="false" customHeight="false" outlineLevel="0" collapsed="false">
      <c r="A30" s="11"/>
      <c r="B30" s="11"/>
      <c r="C30" s="11"/>
      <c r="D30" s="11"/>
      <c r="E30" s="11"/>
      <c r="F30" s="11"/>
      <c r="G30" s="11"/>
      <c r="H30" s="11"/>
      <c r="I30" s="11"/>
      <c r="J30" s="11"/>
      <c r="K30" s="11"/>
      <c r="L30" s="11"/>
      <c r="M30" s="11"/>
      <c r="N30" s="11"/>
      <c r="O30" s="11"/>
      <c r="P30" s="11"/>
      <c r="Q30" s="11"/>
    </row>
  </sheetData>
  <sheetProtection sheet="true" formatColumns="false" formatRows="false" sort="false" autoFilter="false"/>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2"/>
    <col collapsed="false" customWidth="true" hidden="false" outlineLevel="0" max="3" min="3" style="0" width="14"/>
    <col collapsed="false" customWidth="true" hidden="false" outlineLevel="0" max="4" min="4" style="0" width="74"/>
  </cols>
  <sheetData>
    <row r="1" customFormat="false" ht="17.35" hidden="false" customHeight="false" outlineLevel="0" collapsed="false">
      <c r="B1" s="12" t="s">
        <v>176</v>
      </c>
    </row>
    <row r="2" customFormat="false" ht="15" hidden="false" customHeight="false" outlineLevel="0" collapsed="false">
      <c r="B2" s="8" t="s">
        <v>177</v>
      </c>
    </row>
    <row r="4" customFormat="false" ht="15" hidden="false" customHeight="false" outlineLevel="0" collapsed="false">
      <c r="B4" s="13" t="s">
        <v>178</v>
      </c>
      <c r="C4" s="14"/>
      <c r="D4" s="14"/>
    </row>
    <row r="5" customFormat="false" ht="15" hidden="false" customHeight="false" outlineLevel="0" collapsed="false">
      <c r="B5" s="15" t="s">
        <v>179</v>
      </c>
      <c r="C5" s="16" t="n">
        <v>12</v>
      </c>
      <c r="D5" s="17" t="s">
        <v>180</v>
      </c>
    </row>
    <row r="6" customFormat="false" ht="15" hidden="false" customHeight="false" outlineLevel="0" collapsed="false">
      <c r="B6" s="15" t="s">
        <v>181</v>
      </c>
      <c r="C6" s="18" t="n">
        <v>2000</v>
      </c>
      <c r="D6" s="17" t="s">
        <v>182</v>
      </c>
    </row>
    <row r="7" customFormat="false" ht="15" hidden="false" customHeight="false" outlineLevel="0" collapsed="false">
      <c r="B7" s="19" t="s">
        <v>183</v>
      </c>
      <c r="C7" s="11"/>
    </row>
    <row r="8" customFormat="false" ht="15" hidden="false" customHeight="false" outlineLevel="0" collapsed="false">
      <c r="B8" s="15" t="s">
        <v>184</v>
      </c>
      <c r="C8" s="20" t="n">
        <v>0.4</v>
      </c>
      <c r="D8" s="17" t="s">
        <v>185</v>
      </c>
    </row>
    <row r="9" customFormat="false" ht="15" hidden="false" customHeight="false" outlineLevel="0" collapsed="false">
      <c r="B9" s="15" t="s">
        <v>186</v>
      </c>
      <c r="C9" s="20" t="n">
        <v>0.25</v>
      </c>
      <c r="D9" s="17" t="s">
        <v>187</v>
      </c>
    </row>
    <row r="10" customFormat="false" ht="15" hidden="false" customHeight="false" outlineLevel="0" collapsed="false">
      <c r="B10" s="15" t="s">
        <v>188</v>
      </c>
      <c r="C10" s="20" t="n">
        <v>0.1</v>
      </c>
      <c r="D10" s="17" t="s">
        <v>187</v>
      </c>
    </row>
    <row r="11" customFormat="false" ht="15" hidden="false" customHeight="false" outlineLevel="0" collapsed="false">
      <c r="B11" s="15" t="s">
        <v>189</v>
      </c>
      <c r="C11" s="20" t="n">
        <v>0.03</v>
      </c>
      <c r="D11" s="17" t="s">
        <v>187</v>
      </c>
    </row>
    <row r="12" customFormat="false" ht="15" hidden="false" customHeight="false" outlineLevel="0" collapsed="false">
      <c r="B12" s="15" t="s">
        <v>190</v>
      </c>
      <c r="C12" s="20" t="n">
        <v>0.01</v>
      </c>
      <c r="D12" s="17" t="s">
        <v>187</v>
      </c>
    </row>
    <row r="14" customFormat="false" ht="15" hidden="false" customHeight="false" outlineLevel="0" collapsed="false">
      <c r="B14" s="13" t="s">
        <v>191</v>
      </c>
      <c r="C14" s="14"/>
      <c r="D14" s="14"/>
    </row>
    <row r="15" customFormat="false" ht="15" hidden="false" customHeight="false" outlineLevel="0" collapsed="false">
      <c r="B15" s="15" t="s">
        <v>95</v>
      </c>
      <c r="C15" s="21" t="n">
        <v>2</v>
      </c>
      <c r="D15" s="17" t="s">
        <v>192</v>
      </c>
    </row>
    <row r="16" customFormat="false" ht="15" hidden="false" customHeight="false" outlineLevel="0" collapsed="false">
      <c r="B16" s="15" t="s">
        <v>109</v>
      </c>
      <c r="C16" s="21" t="n">
        <v>5</v>
      </c>
      <c r="D16" s="17"/>
    </row>
    <row r="17" customFormat="false" ht="15" hidden="false" customHeight="false" outlineLevel="0" collapsed="false">
      <c r="B17" s="15" t="s">
        <v>123</v>
      </c>
      <c r="C17" s="21" t="n">
        <v>10</v>
      </c>
      <c r="D17" s="17"/>
    </row>
    <row r="19" customFormat="false" ht="15" hidden="false" customHeight="false" outlineLevel="0" collapsed="false">
      <c r="B19" s="13" t="s">
        <v>193</v>
      </c>
      <c r="C19" s="14"/>
      <c r="D19" s="14"/>
    </row>
    <row r="20" customFormat="false" ht="15" hidden="false" customHeight="false" outlineLevel="0" collapsed="false">
      <c r="B20" s="15" t="s">
        <v>194</v>
      </c>
      <c r="C20" s="21" t="n">
        <v>60</v>
      </c>
      <c r="D20" s="17" t="s">
        <v>195</v>
      </c>
    </row>
    <row r="21" customFormat="false" ht="15" hidden="false" customHeight="false" outlineLevel="0" collapsed="false">
      <c r="B21" s="15" t="s">
        <v>196</v>
      </c>
      <c r="C21" s="21" t="n">
        <v>25</v>
      </c>
      <c r="D21" s="17" t="s">
        <v>197</v>
      </c>
    </row>
    <row r="23" customFormat="false" ht="15" hidden="false" customHeight="false" outlineLevel="0" collapsed="false">
      <c r="B23" s="13" t="s">
        <v>198</v>
      </c>
      <c r="C23" s="14"/>
      <c r="D23" s="14"/>
    </row>
    <row r="24" customFormat="false" ht="15" hidden="false" customHeight="false" outlineLevel="0" collapsed="false">
      <c r="B24" s="15" t="s">
        <v>199</v>
      </c>
      <c r="C24" s="20" t="n">
        <v>0.8</v>
      </c>
      <c r="D24" s="17" t="s">
        <v>200</v>
      </c>
    </row>
    <row r="25" customFormat="false" ht="15" hidden="false" customHeight="false" outlineLevel="0" collapsed="false">
      <c r="B25" s="15" t="s">
        <v>201</v>
      </c>
      <c r="C25" s="20" t="n">
        <v>0.1</v>
      </c>
      <c r="D25" s="17" t="s">
        <v>202</v>
      </c>
    </row>
    <row r="26" customFormat="false" ht="15" hidden="false" customHeight="false" outlineLevel="0" collapsed="false">
      <c r="B26" s="15" t="s">
        <v>203</v>
      </c>
      <c r="C26" s="20" t="n">
        <v>0.95</v>
      </c>
      <c r="D26" s="17"/>
    </row>
    <row r="27" customFormat="false" ht="15" hidden="false" customHeight="false" outlineLevel="0" collapsed="false">
      <c r="B27" s="15" t="s">
        <v>204</v>
      </c>
      <c r="C27" s="21" t="n">
        <v>60</v>
      </c>
      <c r="D27" s="17" t="s">
        <v>205</v>
      </c>
    </row>
    <row r="29" customFormat="false" ht="15" hidden="false" customHeight="false" outlineLevel="0" collapsed="false">
      <c r="B29" s="13" t="s">
        <v>206</v>
      </c>
      <c r="C29" s="14"/>
      <c r="D29" s="14"/>
    </row>
    <row r="30" customFormat="false" ht="15" hidden="false" customHeight="true" outlineLevel="0" collapsed="false">
      <c r="B30" s="22" t="s">
        <v>207</v>
      </c>
      <c r="C30" s="22"/>
      <c r="D30" s="22"/>
    </row>
    <row r="31" customFormat="false" ht="15" hidden="false" customHeight="false" outlineLevel="0" collapsed="false">
      <c r="B31" s="22"/>
      <c r="C31" s="22"/>
      <c r="D31" s="22"/>
    </row>
    <row r="32" customFormat="false" ht="15" hidden="false" customHeight="false" outlineLevel="0" collapsed="false">
      <c r="B32" s="22"/>
      <c r="C32" s="22"/>
      <c r="D32" s="22"/>
    </row>
    <row r="34" customFormat="false" ht="15" hidden="false" customHeight="false" outlineLevel="0" collapsed="false">
      <c r="B34" s="13" t="s">
        <v>208</v>
      </c>
      <c r="C34" s="14"/>
      <c r="D34" s="14"/>
    </row>
    <row r="35" customFormat="false" ht="15" hidden="false" customHeight="false" outlineLevel="0" collapsed="false">
      <c r="B35" s="15" t="s">
        <v>209</v>
      </c>
      <c r="C35" s="19" t="s">
        <v>210</v>
      </c>
    </row>
    <row r="36" customFormat="false" ht="15" hidden="false" customHeight="false" outlineLevel="0" collapsed="false">
      <c r="B36" s="15" t="s">
        <v>55</v>
      </c>
      <c r="C36" s="19" t="s">
        <v>211</v>
      </c>
    </row>
  </sheetData>
  <sheetProtection sheet="true" formatColumns="false" formatRows="false" sort="false" autoFilter="false"/>
  <mergeCells count="1">
    <mergeCell ref="B30:D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N3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2"/>
    <col collapsed="false" customWidth="true" hidden="false" outlineLevel="0" max="3" min="3" style="0" width="11"/>
    <col collapsed="false" customWidth="true" hidden="false" outlineLevel="0" max="4" min="4" style="0" width="15"/>
    <col collapsed="false" customWidth="true" hidden="false" outlineLevel="0" max="5" min="5" style="0" width="18"/>
    <col collapsed="false" customWidth="true" hidden="false" outlineLevel="0" max="6" min="6" style="0" width="12"/>
    <col collapsed="false" customWidth="true" hidden="false" outlineLevel="0" max="7" min="7" style="0" width="14"/>
    <col collapsed="false" customWidth="true" hidden="false" outlineLevel="0" max="8" min="8" style="0" width="20"/>
    <col collapsed="false" customWidth="true" hidden="false" outlineLevel="0" max="10" min="9" style="0" width="16"/>
    <col collapsed="false" customWidth="true" hidden="false" outlineLevel="0" max="11" min="11" style="0" width="20"/>
    <col collapsed="false" customWidth="true" hidden="false" outlineLevel="0" max="12" min="12" style="0" width="42"/>
    <col collapsed="false" customWidth="true" hidden="false" outlineLevel="0" max="13" min="13" style="0" width="14"/>
    <col collapsed="false" customWidth="true" hidden="false" outlineLevel="0" max="14" min="14" style="0" width="13"/>
    <col collapsed="false" customWidth="true" hidden="false" outlineLevel="0" max="15" min="15" style="0" width="9"/>
    <col collapsed="false" customWidth="true" hidden="false" outlineLevel="0" max="16" min="16" style="0" width="14"/>
    <col collapsed="false" customWidth="true" hidden="false" outlineLevel="0" max="17" min="17" style="0" width="30"/>
    <col collapsed="false" customWidth="true" hidden="false" outlineLevel="0" max="18" min="18" style="0" width="18"/>
    <col collapsed="false" customWidth="true" hidden="false" outlineLevel="0" max="19" min="19" style="0" width="9"/>
    <col collapsed="false" customWidth="true" hidden="false" outlineLevel="0" max="22" min="20" style="0" width="8"/>
    <col collapsed="false" customWidth="true" hidden="false" outlineLevel="0" max="23" min="23" style="0" width="9"/>
    <col collapsed="false" customWidth="true" hidden="false" outlineLevel="0" max="25" min="24" style="0" width="12"/>
    <col collapsed="false" customWidth="true" hidden="false" outlineLevel="0" max="26" min="26" style="0" width="13"/>
    <col collapsed="false" customWidth="true" hidden="false" outlineLevel="0" max="28" min="27" style="0" width="15"/>
    <col collapsed="false" customWidth="true" hidden="false" outlineLevel="0" max="29" min="29" style="0" width="40"/>
    <col collapsed="false" customWidth="true" hidden="false" outlineLevel="0" max="31" min="30" style="0" width="15"/>
    <col collapsed="false" customWidth="true" hidden="false" outlineLevel="0" max="32" min="32" style="0" width="10"/>
    <col collapsed="false" customWidth="true" hidden="false" outlineLevel="0" max="33" min="33" style="0" width="20"/>
    <col collapsed="false" customWidth="true" hidden="false" outlineLevel="0" max="34" min="34" style="0" width="12"/>
    <col collapsed="false" customWidth="true" hidden="false" outlineLevel="0" max="35" min="35" style="0" width="16"/>
    <col collapsed="false" customWidth="true" hidden="false" outlineLevel="0" max="36" min="36" style="0" width="12"/>
    <col collapsed="false" customWidth="true" hidden="false" outlineLevel="0" max="37" min="37" style="0" width="8"/>
    <col collapsed="false" customWidth="true" hidden="false" outlineLevel="0" max="38" min="38" style="0" width="9"/>
    <col collapsed="false" customWidth="true" hidden="false" outlineLevel="0" max="39" min="39" style="0" width="14"/>
    <col collapsed="false" customWidth="true" hidden="false" outlineLevel="0" max="40" min="40" style="0" width="34"/>
  </cols>
  <sheetData>
    <row r="1" customFormat="false" ht="25.5" hidden="false" customHeight="true" outlineLevel="0" collapsed="false">
      <c r="A1" s="23" t="s">
        <v>212</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row>
    <row r="2" customFormat="false" ht="18" hidden="false" customHeight="true" outlineLevel="0" collapsed="false">
      <c r="A2" s="24" t="s">
        <v>213</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row>
    <row r="3" customFormat="false" ht="15" hidden="false" customHeight="true" outlineLevel="0" collapsed="false">
      <c r="A3" s="25" t="s">
        <v>214</v>
      </c>
      <c r="B3" s="26" t="s">
        <v>215</v>
      </c>
      <c r="C3" s="26"/>
      <c r="D3" s="26"/>
      <c r="E3" s="26"/>
      <c r="F3" s="26"/>
      <c r="G3" s="26"/>
      <c r="H3" s="26"/>
      <c r="I3" s="26"/>
      <c r="J3" s="26"/>
      <c r="K3" s="26"/>
      <c r="L3" s="26"/>
      <c r="M3" s="26"/>
      <c r="N3" s="26"/>
      <c r="O3" s="26"/>
      <c r="P3" s="27" t="s">
        <v>216</v>
      </c>
      <c r="Q3" s="27"/>
      <c r="R3" s="27"/>
      <c r="S3" s="27"/>
      <c r="T3" s="27"/>
      <c r="U3" s="27"/>
      <c r="V3" s="27"/>
      <c r="W3" s="27" t="s">
        <v>217</v>
      </c>
      <c r="X3" s="27"/>
      <c r="Y3" s="27"/>
      <c r="Z3" s="27"/>
      <c r="AA3" s="27"/>
      <c r="AB3" s="27"/>
      <c r="AC3" s="27" t="s">
        <v>218</v>
      </c>
      <c r="AD3" s="27"/>
      <c r="AE3" s="27"/>
      <c r="AF3" s="27"/>
      <c r="AG3" s="27" t="s">
        <v>219</v>
      </c>
      <c r="AH3" s="27"/>
      <c r="AI3" s="27"/>
      <c r="AJ3" s="27"/>
      <c r="AK3" s="27"/>
      <c r="AL3" s="27"/>
      <c r="AM3" s="27"/>
      <c r="AN3" s="27"/>
    </row>
    <row r="4" customFormat="false" ht="45.75" hidden="false" customHeight="true" outlineLevel="0" collapsed="false">
      <c r="A4" s="28" t="s">
        <v>220</v>
      </c>
      <c r="B4" s="29" t="s">
        <v>221</v>
      </c>
      <c r="C4" s="29" t="s">
        <v>222</v>
      </c>
      <c r="D4" s="29" t="s">
        <v>67</v>
      </c>
      <c r="E4" s="29" t="s">
        <v>223</v>
      </c>
      <c r="F4" s="30" t="s">
        <v>68</v>
      </c>
      <c r="G4" s="30" t="s">
        <v>224</v>
      </c>
      <c r="H4" s="29" t="s">
        <v>225</v>
      </c>
      <c r="I4" s="29" t="s">
        <v>226</v>
      </c>
      <c r="J4" s="29" t="s">
        <v>71</v>
      </c>
      <c r="K4" s="29" t="s">
        <v>227</v>
      </c>
      <c r="L4" s="29" t="s">
        <v>228</v>
      </c>
      <c r="M4" s="29" t="s">
        <v>73</v>
      </c>
      <c r="N4" s="29" t="s">
        <v>229</v>
      </c>
      <c r="O4" s="29" t="s">
        <v>230</v>
      </c>
      <c r="P4" s="30" t="s">
        <v>231</v>
      </c>
      <c r="Q4" s="30" t="s">
        <v>74</v>
      </c>
      <c r="R4" s="30" t="s">
        <v>232</v>
      </c>
      <c r="S4" s="30" t="s">
        <v>233</v>
      </c>
      <c r="T4" s="30" t="s">
        <v>234</v>
      </c>
      <c r="U4" s="30" t="s">
        <v>235</v>
      </c>
      <c r="V4" s="30" t="s">
        <v>236</v>
      </c>
      <c r="W4" s="28" t="s">
        <v>237</v>
      </c>
      <c r="X4" s="28" t="s">
        <v>80</v>
      </c>
      <c r="Y4" s="30" t="s">
        <v>238</v>
      </c>
      <c r="Z4" s="28" t="s">
        <v>239</v>
      </c>
      <c r="AA4" s="28" t="s">
        <v>240</v>
      </c>
      <c r="AB4" s="28" t="s">
        <v>241</v>
      </c>
      <c r="AC4" s="29" t="s">
        <v>242</v>
      </c>
      <c r="AD4" s="29" t="s">
        <v>243</v>
      </c>
      <c r="AE4" s="28" t="s">
        <v>244</v>
      </c>
      <c r="AF4" s="30" t="s">
        <v>245</v>
      </c>
      <c r="AG4" s="30" t="s">
        <v>82</v>
      </c>
      <c r="AH4" s="30" t="s">
        <v>246</v>
      </c>
      <c r="AI4" s="29" t="s">
        <v>76</v>
      </c>
      <c r="AJ4" s="29" t="s">
        <v>247</v>
      </c>
      <c r="AK4" s="28" t="s">
        <v>248</v>
      </c>
      <c r="AL4" s="28" t="s">
        <v>249</v>
      </c>
      <c r="AM4" s="28" t="s">
        <v>250</v>
      </c>
      <c r="AN4" s="30" t="s">
        <v>251</v>
      </c>
    </row>
    <row r="5" customFormat="false" ht="27.75" hidden="false" customHeight="true" outlineLevel="0" collapsed="false">
      <c r="A5" s="31" t="n">
        <f aca="false">IF($B5="","",ROW()-4)</f>
        <v>1</v>
      </c>
      <c r="B5" s="32" t="n">
        <v>46160</v>
      </c>
      <c r="C5" s="32" t="n">
        <v>46158</v>
      </c>
      <c r="D5" s="33" t="s">
        <v>84</v>
      </c>
      <c r="E5" s="33" t="s">
        <v>252</v>
      </c>
      <c r="F5" s="33" t="s">
        <v>85</v>
      </c>
      <c r="G5" s="34" t="n">
        <v>48000</v>
      </c>
      <c r="H5" s="33" t="s">
        <v>86</v>
      </c>
      <c r="I5" s="33" t="s">
        <v>115</v>
      </c>
      <c r="J5" s="33" t="s">
        <v>152</v>
      </c>
      <c r="K5" s="33" t="s">
        <v>89</v>
      </c>
      <c r="L5" s="35" t="s">
        <v>253</v>
      </c>
      <c r="M5" s="33" t="s">
        <v>90</v>
      </c>
      <c r="N5" s="33" t="s">
        <v>108</v>
      </c>
      <c r="O5" s="33" t="n">
        <v>4</v>
      </c>
      <c r="P5" s="33" t="s">
        <v>98</v>
      </c>
      <c r="Q5" s="35" t="s">
        <v>91</v>
      </c>
      <c r="R5" s="33" t="s">
        <v>135</v>
      </c>
      <c r="S5" s="33" t="s">
        <v>94</v>
      </c>
      <c r="T5" s="33" t="n">
        <v>5</v>
      </c>
      <c r="U5" s="33" t="n">
        <v>4</v>
      </c>
      <c r="V5" s="33" t="n">
        <v>3</v>
      </c>
      <c r="W5" s="31" t="n">
        <f aca="false">IF(OR($T5="",$U5="",$V5=""),"",$T5*$U5*$V5)</f>
        <v>60</v>
      </c>
      <c r="X5" s="36" t="str">
        <f aca="false">IF($W5="","",IF($T5=5,"High",IF($W5&gt;=Settings!$C$20,"High",IF(OR($W5&gt;=Settings!$C$21,$T5=4),"Medium","Low"))))</f>
        <v>High</v>
      </c>
      <c r="Y5" s="34" t="n">
        <v>150</v>
      </c>
      <c r="Z5" s="37" t="n">
        <f aca="false">IF($O5="","",$O5*Settings!$C$5)</f>
        <v>48</v>
      </c>
      <c r="AA5" s="37" t="n">
        <f aca="false">IF(OR($H5&lt;&gt;"Complaint",$P5&lt;&gt;"Upheld",$T5=""),0,IF($G5="",Settings!$C$6,$G5)*INDEX(Settings!$C$8:$C$12,6-$T5))</f>
        <v>19200</v>
      </c>
      <c r="AB5" s="37" t="n">
        <f aca="false">IF($B5="","",IF($Y5="",0,$Y5)+IF($Z5="",0,$Z5)+IF($AA5="",0,$AA5))</f>
        <v>19398</v>
      </c>
      <c r="AC5" s="35" t="s">
        <v>254</v>
      </c>
      <c r="AD5" s="33" t="s">
        <v>94</v>
      </c>
      <c r="AE5" s="36" t="str">
        <f aca="false">IF($B5="","",IF(OR($H5="Nonconformity (process)",$S5="Yes",AND(ISNUMBER($W5),$W5&gt;=Settings!$C$20)),"YES – required","No"))</f>
        <v>YES – required</v>
      </c>
      <c r="AF5" s="33" t="s">
        <v>255</v>
      </c>
      <c r="AG5" s="33" t="s">
        <v>111</v>
      </c>
      <c r="AH5" s="32" t="n">
        <v>46166</v>
      </c>
      <c r="AI5" s="33" t="s">
        <v>136</v>
      </c>
      <c r="AJ5" s="32" t="n">
        <v>46168</v>
      </c>
      <c r="AK5" s="31" t="n">
        <f aca="false">IF(OR($B5="",$AJ5=""),"",$AJ5-$B5)</f>
        <v>8</v>
      </c>
      <c r="AL5" s="38" t="n">
        <f aca="false">IF($X5="","",INDEX(Settings!$C$15:$C$17,MATCH($X5,Settings!$B$15:$B$17,0)))</f>
        <v>2</v>
      </c>
      <c r="AM5" s="36" t="str">
        <f aca="true">IF($B5="","",IF($AH5="","No due date",IF($AI5="Closed",IF($AJ5="","Missing close date",IF($AJ5&lt;=$AH5,"On time","Late")),IF(TODAY()&gt;$AH5,"OVERDUE","In progress"))))</f>
        <v>Late</v>
      </c>
      <c r="AN5" s="35" t="s">
        <v>256</v>
      </c>
    </row>
    <row r="6" customFormat="false" ht="27.75" hidden="false" customHeight="true" outlineLevel="0" collapsed="false">
      <c r="A6" s="31" t="n">
        <f aca="false">IF($B6="","",ROW()-4)</f>
        <v>2</v>
      </c>
      <c r="B6" s="32" t="n">
        <v>46166</v>
      </c>
      <c r="C6" s="32" t="n">
        <v>46165</v>
      </c>
      <c r="D6" s="33" t="s">
        <v>99</v>
      </c>
      <c r="E6" s="33" t="s">
        <v>257</v>
      </c>
      <c r="F6" s="33" t="s">
        <v>100</v>
      </c>
      <c r="G6" s="34" t="n">
        <v>22000</v>
      </c>
      <c r="H6" s="33" t="s">
        <v>101</v>
      </c>
      <c r="I6" s="33" t="s">
        <v>130</v>
      </c>
      <c r="J6" s="33" t="s">
        <v>131</v>
      </c>
      <c r="K6" s="33" t="s">
        <v>132</v>
      </c>
      <c r="L6" s="35" t="s">
        <v>258</v>
      </c>
      <c r="M6" s="33" t="s">
        <v>104</v>
      </c>
      <c r="N6" s="33" t="s">
        <v>108</v>
      </c>
      <c r="O6" s="33" t="n">
        <v>3</v>
      </c>
      <c r="P6" s="33"/>
      <c r="Q6" s="35" t="s">
        <v>105</v>
      </c>
      <c r="R6" s="33" t="s">
        <v>120</v>
      </c>
      <c r="S6" s="33" t="s">
        <v>94</v>
      </c>
      <c r="T6" s="33" t="n">
        <v>4</v>
      </c>
      <c r="U6" s="33" t="n">
        <v>4</v>
      </c>
      <c r="V6" s="33" t="n">
        <v>2</v>
      </c>
      <c r="W6" s="31" t="n">
        <f aca="false">IF(OR($T6="",$U6="",$V6=""),"",$T6*$U6*$V6)</f>
        <v>32</v>
      </c>
      <c r="X6" s="36" t="str">
        <f aca="false">IF($W6="","",IF($T6=5,"High",IF($W6&gt;=Settings!$C$20,"High",IF(OR($W6&gt;=Settings!$C$21,$T6=4),"Medium","Low"))))</f>
        <v>Medium</v>
      </c>
      <c r="Y6" s="34" t="n">
        <v>0</v>
      </c>
      <c r="Z6" s="37" t="n">
        <f aca="false">IF($O6="","",$O6*Settings!$C$5)</f>
        <v>36</v>
      </c>
      <c r="AA6" s="37" t="n">
        <f aca="false">IF(OR($H6&lt;&gt;"Complaint",$P6&lt;&gt;"Upheld",$T6=""),0,IF($G6="",Settings!$C$6,$G6)*INDEX(Settings!$C$8:$C$12,6-$T6))</f>
        <v>0</v>
      </c>
      <c r="AB6" s="37" t="n">
        <f aca="false">IF($B6="","",IF($Y6="",0,$Y6)+IF($Z6="",0,$Z6)+IF($AA6="",0,$AA6))</f>
        <v>36</v>
      </c>
      <c r="AC6" s="35" t="s">
        <v>259</v>
      </c>
      <c r="AD6" s="33" t="s">
        <v>94</v>
      </c>
      <c r="AE6" s="36" t="str">
        <f aca="false">IF($B6="","",IF(OR($H6="Nonconformity (process)",$S6="Yes",AND(ISNUMBER($W6),$W6&gt;=Settings!$C$20)),"YES – required","No"))</f>
        <v>YES – required</v>
      </c>
      <c r="AF6" s="33" t="s">
        <v>260</v>
      </c>
      <c r="AG6" s="33" t="s">
        <v>125</v>
      </c>
      <c r="AH6" s="32" t="n">
        <v>46173</v>
      </c>
      <c r="AI6" s="33" t="s">
        <v>136</v>
      </c>
      <c r="AJ6" s="32" t="n">
        <v>46174</v>
      </c>
      <c r="AK6" s="31" t="n">
        <f aca="false">IF(OR($B6="",$AJ6=""),"",$AJ6-$B6)</f>
        <v>8</v>
      </c>
      <c r="AL6" s="38" t="n">
        <f aca="false">IF($X6="","",INDEX(Settings!$C$15:$C$17,MATCH($X6,Settings!$B$15:$B$17,0)))</f>
        <v>5</v>
      </c>
      <c r="AM6" s="36" t="str">
        <f aca="true">IF($B6="","",IF($AH6="","No due date",IF($AI6="Closed",IF($AJ6="","Missing close date",IF($AJ6&lt;=$AH6,"On time","Late")),IF(TODAY()&gt;$AH6,"OVERDUE","In progress"))))</f>
        <v>Late</v>
      </c>
      <c r="AN6" s="35"/>
    </row>
    <row r="7" customFormat="false" ht="27.75" hidden="false" customHeight="true" outlineLevel="0" collapsed="false">
      <c r="A7" s="31" t="n">
        <f aca="false">IF($B7="","",ROW()-4)</f>
        <v>3</v>
      </c>
      <c r="B7" s="32" t="n">
        <v>46171</v>
      </c>
      <c r="C7" s="32" t="n">
        <v>46171</v>
      </c>
      <c r="D7" s="33" t="s">
        <v>113</v>
      </c>
      <c r="E7" s="33" t="s">
        <v>261</v>
      </c>
      <c r="F7" s="33" t="s">
        <v>109</v>
      </c>
      <c r="G7" s="34" t="n">
        <v>6000</v>
      </c>
      <c r="H7" s="33" t="s">
        <v>114</v>
      </c>
      <c r="I7" s="33" t="s">
        <v>102</v>
      </c>
      <c r="J7" s="33" t="s">
        <v>102</v>
      </c>
      <c r="K7" s="33" t="s">
        <v>153</v>
      </c>
      <c r="L7" s="35" t="s">
        <v>262</v>
      </c>
      <c r="M7" s="33" t="s">
        <v>118</v>
      </c>
      <c r="N7" s="33" t="s">
        <v>94</v>
      </c>
      <c r="O7" s="33" t="n">
        <v>1</v>
      </c>
      <c r="P7" s="33"/>
      <c r="Q7" s="35"/>
      <c r="R7" s="33"/>
      <c r="S7" s="33" t="s">
        <v>108</v>
      </c>
      <c r="T7" s="33" t="n">
        <v>1</v>
      </c>
      <c r="U7" s="33" t="n">
        <v>1</v>
      </c>
      <c r="V7" s="33" t="n">
        <v>1</v>
      </c>
      <c r="W7" s="31" t="n">
        <f aca="false">IF(OR($T7="",$U7="",$V7=""),"",$T7*$U7*$V7)</f>
        <v>1</v>
      </c>
      <c r="X7" s="36" t="str">
        <f aca="false">IF($W7="","",IF($T7=5,"High",IF($W7&gt;=Settings!$C$20,"High",IF(OR($W7&gt;=Settings!$C$21,$T7=4),"Medium","Low"))))</f>
        <v>Low</v>
      </c>
      <c r="Y7" s="34" t="n">
        <v>0</v>
      </c>
      <c r="Z7" s="37" t="n">
        <f aca="false">IF($O7="","",$O7*Settings!$C$5)</f>
        <v>12</v>
      </c>
      <c r="AA7" s="37" t="n">
        <f aca="false">IF(OR($H7&lt;&gt;"Complaint",$P7&lt;&gt;"Upheld",$T7=""),0,IF($G7="",Settings!$C$6,$G7)*INDEX(Settings!$C$8:$C$12,6-$T7))</f>
        <v>0</v>
      </c>
      <c r="AB7" s="37" t="n">
        <f aca="false">IF($B7="","",IF($Y7="",0,$Y7)+IF($Z7="",0,$Z7)+IF($AA7="",0,$AA7))</f>
        <v>12</v>
      </c>
      <c r="AC7" s="35" t="s">
        <v>263</v>
      </c>
      <c r="AD7" s="33" t="s">
        <v>94</v>
      </c>
      <c r="AE7" s="36" t="str">
        <f aca="false">IF($B7="","",IF(OR($H7="Nonconformity (process)",$S7="Yes",AND(ISNUMBER($W7),$W7&gt;=Settings!$C$20)),"YES – required","No"))</f>
        <v>No</v>
      </c>
      <c r="AF7" s="33"/>
      <c r="AG7" s="33" t="s">
        <v>158</v>
      </c>
      <c r="AH7" s="32" t="n">
        <v>46171</v>
      </c>
      <c r="AI7" s="33" t="s">
        <v>136</v>
      </c>
      <c r="AJ7" s="32" t="n">
        <v>46171</v>
      </c>
      <c r="AK7" s="31" t="n">
        <f aca="false">IF(OR($B7="",$AJ7=""),"",$AJ7-$B7)</f>
        <v>0</v>
      </c>
      <c r="AL7" s="38" t="n">
        <f aca="false">IF($X7="","",INDEX(Settings!$C$15:$C$17,MATCH($X7,Settings!$B$15:$B$17,0)))</f>
        <v>10</v>
      </c>
      <c r="AM7" s="36" t="str">
        <f aca="true">IF($B7="","",IF($AH7="","No due date",IF($AI7="Closed",IF($AJ7="","Missing close date",IF($AJ7&lt;=$AH7,"On time","Late")),IF(TODAY()&gt;$AH7,"OVERDUE","In progress"))))</f>
        <v>On time</v>
      </c>
      <c r="AN7" s="35" t="s">
        <v>264</v>
      </c>
    </row>
    <row r="8" customFormat="false" ht="27.75" hidden="false" customHeight="true" outlineLevel="0" collapsed="false">
      <c r="A8" s="31" t="n">
        <f aca="false">IF($B8="","",ROW()-4)</f>
        <v>4</v>
      </c>
      <c r="B8" s="32" t="n">
        <v>46174</v>
      </c>
      <c r="C8" s="32" t="n">
        <v>46172</v>
      </c>
      <c r="D8" s="33" t="s">
        <v>127</v>
      </c>
      <c r="E8" s="33" t="s">
        <v>265</v>
      </c>
      <c r="F8" s="33" t="s">
        <v>128</v>
      </c>
      <c r="G8" s="34" t="n">
        <v>800</v>
      </c>
      <c r="H8" s="33" t="s">
        <v>86</v>
      </c>
      <c r="I8" s="33" t="s">
        <v>160</v>
      </c>
      <c r="J8" s="33" t="s">
        <v>116</v>
      </c>
      <c r="K8" s="33" t="s">
        <v>162</v>
      </c>
      <c r="L8" s="35" t="s">
        <v>266</v>
      </c>
      <c r="M8" s="33" t="s">
        <v>90</v>
      </c>
      <c r="N8" s="33" t="s">
        <v>94</v>
      </c>
      <c r="O8" s="33" t="n">
        <v>2</v>
      </c>
      <c r="P8" s="33" t="s">
        <v>112</v>
      </c>
      <c r="Q8" s="35" t="s">
        <v>168</v>
      </c>
      <c r="R8" s="33" t="s">
        <v>156</v>
      </c>
      <c r="S8" s="33" t="s">
        <v>108</v>
      </c>
      <c r="T8" s="33" t="n">
        <v>2</v>
      </c>
      <c r="U8" s="33" t="n">
        <v>3</v>
      </c>
      <c r="V8" s="33" t="n">
        <v>3</v>
      </c>
      <c r="W8" s="31" t="n">
        <f aca="false">IF(OR($T8="",$U8="",$V8=""),"",$T8*$U8*$V8)</f>
        <v>18</v>
      </c>
      <c r="X8" s="36" t="str">
        <f aca="false">IF($W8="","",IF($T8=5,"High",IF($W8&gt;=Settings!$C$20,"High",IF(OR($W8&gt;=Settings!$C$21,$T8=4),"Medium","Low"))))</f>
        <v>Low</v>
      </c>
      <c r="Y8" s="34" t="n">
        <v>0</v>
      </c>
      <c r="Z8" s="37" t="n">
        <f aca="false">IF($O8="","",$O8*Settings!$C$5)</f>
        <v>24</v>
      </c>
      <c r="AA8" s="37" t="n">
        <f aca="false">IF(OR($H8&lt;&gt;"Complaint",$P8&lt;&gt;"Upheld",$T8=""),0,IF($G8="",Settings!$C$6,$G8)*INDEX(Settings!$C$8:$C$12,6-$T8))</f>
        <v>0</v>
      </c>
      <c r="AB8" s="37" t="n">
        <f aca="false">IF($B8="","",IF($Y8="",0,$Y8)+IF($Z8="",0,$Z8)+IF($AA8="",0,$AA8))</f>
        <v>24</v>
      </c>
      <c r="AC8" s="35" t="s">
        <v>267</v>
      </c>
      <c r="AD8" s="33" t="s">
        <v>94</v>
      </c>
      <c r="AE8" s="36" t="str">
        <f aca="false">IF($B8="","",IF(OR($H8="Nonconformity (process)",$S8="Yes",AND(ISNUMBER($W8),$W8&gt;=Settings!$C$20)),"YES – required","No"))</f>
        <v>No</v>
      </c>
      <c r="AF8" s="33"/>
      <c r="AG8" s="33" t="s">
        <v>158</v>
      </c>
      <c r="AH8" s="32" t="n">
        <v>46175</v>
      </c>
      <c r="AI8" s="33" t="s">
        <v>136</v>
      </c>
      <c r="AJ8" s="32" t="n">
        <v>46175</v>
      </c>
      <c r="AK8" s="31" t="n">
        <f aca="false">IF(OR($B8="",$AJ8=""),"",$AJ8-$B8)</f>
        <v>1</v>
      </c>
      <c r="AL8" s="38" t="n">
        <f aca="false">IF($X8="","",INDEX(Settings!$C$15:$C$17,MATCH($X8,Settings!$B$15:$B$17,0)))</f>
        <v>10</v>
      </c>
      <c r="AM8" s="36" t="str">
        <f aca="true">IF($B8="","",IF($AH8="","No due date",IF($AI8="Closed",IF($AJ8="","Missing close date",IF($AJ8&lt;=$AH8,"On time","Late")),IF(TODAY()&gt;$AH8,"OVERDUE","In progress"))))</f>
        <v>On time</v>
      </c>
      <c r="AN8" s="35" t="s">
        <v>268</v>
      </c>
    </row>
    <row r="9" customFormat="false" ht="27.75" hidden="false" customHeight="true" outlineLevel="0" collapsed="false">
      <c r="A9" s="31" t="n">
        <f aca="false">IF($B9="","",ROW()-4)</f>
        <v>5</v>
      </c>
      <c r="B9" s="32" t="n">
        <v>46178</v>
      </c>
      <c r="C9" s="32" t="n">
        <v>46177</v>
      </c>
      <c r="D9" s="33" t="s">
        <v>84</v>
      </c>
      <c r="E9" s="33" t="s">
        <v>269</v>
      </c>
      <c r="F9" s="33" t="s">
        <v>100</v>
      </c>
      <c r="G9" s="34" t="n">
        <v>31000</v>
      </c>
      <c r="H9" s="33" t="s">
        <v>86</v>
      </c>
      <c r="I9" s="33" t="s">
        <v>115</v>
      </c>
      <c r="J9" s="33" t="s">
        <v>152</v>
      </c>
      <c r="K9" s="33" t="s">
        <v>89</v>
      </c>
      <c r="L9" s="35" t="s">
        <v>270</v>
      </c>
      <c r="M9" s="33" t="s">
        <v>104</v>
      </c>
      <c r="N9" s="33" t="s">
        <v>108</v>
      </c>
      <c r="O9" s="33" t="n">
        <v>3</v>
      </c>
      <c r="P9" s="33" t="s">
        <v>98</v>
      </c>
      <c r="Q9" s="35" t="s">
        <v>91</v>
      </c>
      <c r="R9" s="33" t="s">
        <v>135</v>
      </c>
      <c r="S9" s="33" t="s">
        <v>94</v>
      </c>
      <c r="T9" s="33" t="n">
        <v>4</v>
      </c>
      <c r="U9" s="33" t="n">
        <v>5</v>
      </c>
      <c r="V9" s="33" t="n">
        <v>3</v>
      </c>
      <c r="W9" s="31" t="n">
        <f aca="false">IF(OR($T9="",$U9="",$V9=""),"",$T9*$U9*$V9)</f>
        <v>60</v>
      </c>
      <c r="X9" s="36" t="str">
        <f aca="false">IF($W9="","",IF($T9=5,"High",IF($W9&gt;=Settings!$C$20,"High",IF(OR($W9&gt;=Settings!$C$21,$T9=4),"Medium","Low"))))</f>
        <v>High</v>
      </c>
      <c r="Y9" s="34" t="n">
        <v>80</v>
      </c>
      <c r="Z9" s="37" t="n">
        <f aca="false">IF($O9="","",$O9*Settings!$C$5)</f>
        <v>36</v>
      </c>
      <c r="AA9" s="37" t="n">
        <f aca="false">IF(OR($H9&lt;&gt;"Complaint",$P9&lt;&gt;"Upheld",$T9=""),0,IF($G9="",Settings!$C$6,$G9)*INDEX(Settings!$C$8:$C$12,6-$T9))</f>
        <v>7750</v>
      </c>
      <c r="AB9" s="37" t="n">
        <f aca="false">IF($B9="","",IF($Y9="",0,$Y9)+IF($Z9="",0,$Z9)+IF($AA9="",0,$AA9))</f>
        <v>7866</v>
      </c>
      <c r="AC9" s="35" t="s">
        <v>271</v>
      </c>
      <c r="AD9" s="33" t="s">
        <v>94</v>
      </c>
      <c r="AE9" s="36" t="str">
        <f aca="false">IF($B9="","",IF(OR($H9="Nonconformity (process)",$S9="Yes",AND(ISNUMBER($W9),$W9&gt;=Settings!$C$20)),"YES – required","No"))</f>
        <v>YES – required</v>
      </c>
      <c r="AF9" s="33" t="s">
        <v>255</v>
      </c>
      <c r="AG9" s="33" t="s">
        <v>111</v>
      </c>
      <c r="AH9" s="32" t="n">
        <v>46183</v>
      </c>
      <c r="AI9" s="33" t="s">
        <v>136</v>
      </c>
      <c r="AJ9" s="32" t="n">
        <v>46184</v>
      </c>
      <c r="AK9" s="31" t="n">
        <f aca="false">IF(OR($B9="",$AJ9=""),"",$AJ9-$B9)</f>
        <v>6</v>
      </c>
      <c r="AL9" s="38" t="n">
        <f aca="false">IF($X9="","",INDEX(Settings!$C$15:$C$17,MATCH($X9,Settings!$B$15:$B$17,0)))</f>
        <v>2</v>
      </c>
      <c r="AM9" s="36" t="str">
        <f aca="true">IF($B9="","",IF($AH9="","No due date",IF($AI9="Closed",IF($AJ9="","Missing close date",IF($AJ9&lt;=$AH9,"On time","Late")),IF(TODAY()&gt;$AH9,"OVERDUE","In progress"))))</f>
        <v>Late</v>
      </c>
      <c r="AN9" s="35"/>
    </row>
    <row r="10" customFormat="false" ht="27.75" hidden="false" customHeight="true" outlineLevel="0" collapsed="false">
      <c r="A10" s="31" t="n">
        <f aca="false">IF($B10="","",ROW()-4)</f>
        <v>6</v>
      </c>
      <c r="B10" s="32" t="n">
        <v>46182</v>
      </c>
      <c r="C10" s="32" t="n">
        <v>46182</v>
      </c>
      <c r="D10" s="33" t="s">
        <v>150</v>
      </c>
      <c r="E10" s="33" t="s">
        <v>272</v>
      </c>
      <c r="F10" s="33" t="s">
        <v>109</v>
      </c>
      <c r="G10" s="34" t="n">
        <v>9000</v>
      </c>
      <c r="H10" s="33" t="s">
        <v>129</v>
      </c>
      <c r="I10" s="33" t="s">
        <v>151</v>
      </c>
      <c r="J10" s="33" t="s">
        <v>161</v>
      </c>
      <c r="K10" s="33" t="s">
        <v>143</v>
      </c>
      <c r="L10" s="35" t="s">
        <v>273</v>
      </c>
      <c r="M10" s="33" t="s">
        <v>133</v>
      </c>
      <c r="N10" s="33" t="s">
        <v>94</v>
      </c>
      <c r="O10" s="33" t="n">
        <v>1</v>
      </c>
      <c r="P10" s="33"/>
      <c r="Q10" s="35" t="s">
        <v>175</v>
      </c>
      <c r="R10" s="33" t="s">
        <v>146</v>
      </c>
      <c r="S10" s="33" t="s">
        <v>108</v>
      </c>
      <c r="T10" s="33" t="n">
        <v>1</v>
      </c>
      <c r="U10" s="33" t="n">
        <v>2</v>
      </c>
      <c r="V10" s="33" t="n">
        <v>2</v>
      </c>
      <c r="W10" s="31" t="n">
        <f aca="false">IF(OR($T10="",$U10="",$V10=""),"",$T10*$U10*$V10)</f>
        <v>4</v>
      </c>
      <c r="X10" s="36" t="str">
        <f aca="false">IF($W10="","",IF($T10=5,"High",IF($W10&gt;=Settings!$C$20,"High",IF(OR($W10&gt;=Settings!$C$21,$T10=4),"Medium","Low"))))</f>
        <v>Low</v>
      </c>
      <c r="Y10" s="34" t="n">
        <v>0</v>
      </c>
      <c r="Z10" s="37" t="n">
        <f aca="false">IF($O10="","",$O10*Settings!$C$5)</f>
        <v>12</v>
      </c>
      <c r="AA10" s="37" t="n">
        <f aca="false">IF(OR($H10&lt;&gt;"Complaint",$P10&lt;&gt;"Upheld",$T10=""),0,IF($G10="",Settings!$C$6,$G10)*INDEX(Settings!$C$8:$C$12,6-$T10))</f>
        <v>0</v>
      </c>
      <c r="AB10" s="37" t="n">
        <f aca="false">IF($B10="","",IF($Y10="",0,$Y10)+IF($Z10="",0,$Z10)+IF($AA10="",0,$AA10))</f>
        <v>12</v>
      </c>
      <c r="AC10" s="35" t="s">
        <v>274</v>
      </c>
      <c r="AD10" s="33" t="s">
        <v>94</v>
      </c>
      <c r="AE10" s="36" t="str">
        <f aca="false">IF($B10="","",IF(OR($H10="Nonconformity (process)",$S10="Yes",AND(ISNUMBER($W10),$W10&gt;=Settings!$C$20)),"YES – required","No"))</f>
        <v>No</v>
      </c>
      <c r="AF10" s="33"/>
      <c r="AG10" s="33" t="s">
        <v>138</v>
      </c>
      <c r="AH10" s="32" t="n">
        <v>46213</v>
      </c>
      <c r="AI10" s="33" t="s">
        <v>107</v>
      </c>
      <c r="AJ10" s="32"/>
      <c r="AK10" s="31" t="str">
        <f aca="false">IF(OR($B10="",$AJ10=""),"",$AJ10-$B10)</f>
        <v/>
      </c>
      <c r="AL10" s="38" t="n">
        <f aca="false">IF($X10="","",INDEX(Settings!$C$15:$C$17,MATCH($X10,Settings!$B$15:$B$17,0)))</f>
        <v>10</v>
      </c>
      <c r="AM10" s="36" t="str">
        <f aca="true">IF($B10="","",IF($AH10="","No due date",IF($AI10="Closed",IF($AJ10="","Missing close date",IF($AJ10&lt;=$AH10,"On time","Late")),IF(TODAY()&gt;$AH10,"OVERDUE","In progress"))))</f>
        <v>OVERDUE</v>
      </c>
      <c r="AN10" s="35" t="s">
        <v>275</v>
      </c>
    </row>
    <row r="11" customFormat="false" ht="27.75" hidden="false" customHeight="true" outlineLevel="0" collapsed="false">
      <c r="A11" s="31" t="n">
        <f aca="false">IF($B11="","",ROW()-4)</f>
        <v>7</v>
      </c>
      <c r="B11" s="32" t="n">
        <v>46188</v>
      </c>
      <c r="C11" s="32" t="n">
        <v>46187</v>
      </c>
      <c r="D11" s="33" t="s">
        <v>99</v>
      </c>
      <c r="E11" s="33" t="s">
        <v>252</v>
      </c>
      <c r="F11" s="33" t="s">
        <v>85</v>
      </c>
      <c r="G11" s="34" t="n">
        <v>48000</v>
      </c>
      <c r="H11" s="33" t="s">
        <v>101</v>
      </c>
      <c r="I11" s="33" t="s">
        <v>141</v>
      </c>
      <c r="J11" s="33" t="s">
        <v>169</v>
      </c>
      <c r="K11" s="33" t="s">
        <v>117</v>
      </c>
      <c r="L11" s="35" t="s">
        <v>276</v>
      </c>
      <c r="M11" s="33" t="s">
        <v>144</v>
      </c>
      <c r="N11" s="33" t="s">
        <v>108</v>
      </c>
      <c r="O11" s="33" t="n">
        <v>2</v>
      </c>
      <c r="P11" s="33"/>
      <c r="Q11" s="35" t="s">
        <v>145</v>
      </c>
      <c r="R11" s="33" t="s">
        <v>106</v>
      </c>
      <c r="S11" s="33" t="s">
        <v>94</v>
      </c>
      <c r="T11" s="33" t="n">
        <v>4</v>
      </c>
      <c r="U11" s="33" t="n">
        <v>4</v>
      </c>
      <c r="V11" s="33" t="n">
        <v>3</v>
      </c>
      <c r="W11" s="31" t="n">
        <f aca="false">IF(OR($T11="",$U11="",$V11=""),"",$T11*$U11*$V11)</f>
        <v>48</v>
      </c>
      <c r="X11" s="36" t="str">
        <f aca="false">IF($W11="","",IF($T11=5,"High",IF($W11&gt;=Settings!$C$20,"High",IF(OR($W11&gt;=Settings!$C$21,$T11=4),"Medium","Low"))))</f>
        <v>Medium</v>
      </c>
      <c r="Y11" s="34" t="n">
        <v>420</v>
      </c>
      <c r="Z11" s="37" t="n">
        <f aca="false">IF($O11="","",$O11*Settings!$C$5)</f>
        <v>24</v>
      </c>
      <c r="AA11" s="37" t="n">
        <f aca="false">IF(OR($H11&lt;&gt;"Complaint",$P11&lt;&gt;"Upheld",$T11=""),0,IF($G11="",Settings!$C$6,$G11)*INDEX(Settings!$C$8:$C$12,6-$T11))</f>
        <v>0</v>
      </c>
      <c r="AB11" s="37" t="n">
        <f aca="false">IF($B11="","",IF($Y11="",0,$Y11)+IF($Z11="",0,$Z11)+IF($AA11="",0,$AA11))</f>
        <v>444</v>
      </c>
      <c r="AC11" s="35" t="s">
        <v>277</v>
      </c>
      <c r="AD11" s="33" t="s">
        <v>94</v>
      </c>
      <c r="AE11" s="36" t="str">
        <f aca="false">IF($B11="","",IF(OR($H11="Nonconformity (process)",$S11="Yes",AND(ISNUMBER($W11),$W11&gt;=Settings!$C$20)),"YES – required","No"))</f>
        <v>YES – required</v>
      </c>
      <c r="AF11" s="33" t="s">
        <v>278</v>
      </c>
      <c r="AG11" s="33" t="s">
        <v>149</v>
      </c>
      <c r="AH11" s="32" t="n">
        <v>46195</v>
      </c>
      <c r="AI11" s="33" t="s">
        <v>136</v>
      </c>
      <c r="AJ11" s="32" t="n">
        <v>46198</v>
      </c>
      <c r="AK11" s="31" t="n">
        <f aca="false">IF(OR($B11="",$AJ11=""),"",$AJ11-$B11)</f>
        <v>10</v>
      </c>
      <c r="AL11" s="38" t="n">
        <f aca="false">IF($X11="","",INDEX(Settings!$C$15:$C$17,MATCH($X11,Settings!$B$15:$B$17,0)))</f>
        <v>5</v>
      </c>
      <c r="AM11" s="36" t="str">
        <f aca="true">IF($B11="","",IF($AH11="","No due date",IF($AI11="Closed",IF($AJ11="","Missing close date",IF($AJ11&lt;=$AH11,"On time","Late")),IF(TODAY()&gt;$AH11,"OVERDUE","In progress"))))</f>
        <v>Late</v>
      </c>
      <c r="AN11" s="35" t="s">
        <v>279</v>
      </c>
    </row>
    <row r="12" customFormat="false" ht="27.75" hidden="false" customHeight="true" outlineLevel="0" collapsed="false">
      <c r="A12" s="31" t="n">
        <f aca="false">IF($B12="","",ROW()-4)</f>
        <v>8</v>
      </c>
      <c r="B12" s="32" t="n">
        <v>46194</v>
      </c>
      <c r="C12" s="32" t="n">
        <v>46193</v>
      </c>
      <c r="D12" s="33" t="s">
        <v>84</v>
      </c>
      <c r="E12" s="33" t="s">
        <v>257</v>
      </c>
      <c r="F12" s="33" t="s">
        <v>100</v>
      </c>
      <c r="G12" s="34" t="n">
        <v>22000</v>
      </c>
      <c r="H12" s="33" t="s">
        <v>86</v>
      </c>
      <c r="I12" s="33" t="s">
        <v>102</v>
      </c>
      <c r="J12" s="33" t="s">
        <v>102</v>
      </c>
      <c r="K12" s="33" t="s">
        <v>153</v>
      </c>
      <c r="L12" s="35" t="s">
        <v>280</v>
      </c>
      <c r="M12" s="33" t="s">
        <v>154</v>
      </c>
      <c r="N12" s="33" t="s">
        <v>108</v>
      </c>
      <c r="O12" s="33" t="n">
        <v>5</v>
      </c>
      <c r="P12" s="33" t="s">
        <v>98</v>
      </c>
      <c r="Q12" s="35" t="s">
        <v>119</v>
      </c>
      <c r="R12" s="33" t="s">
        <v>92</v>
      </c>
      <c r="S12" s="33" t="s">
        <v>108</v>
      </c>
      <c r="T12" s="33" t="n">
        <v>3</v>
      </c>
      <c r="U12" s="33" t="n">
        <v>3</v>
      </c>
      <c r="V12" s="33" t="n">
        <v>3</v>
      </c>
      <c r="W12" s="31" t="n">
        <f aca="false">IF(OR($T12="",$U12="",$V12=""),"",$T12*$U12*$V12)</f>
        <v>27</v>
      </c>
      <c r="X12" s="36" t="str">
        <f aca="false">IF($W12="","",IF($T12=5,"High",IF($W12&gt;=Settings!$C$20,"High",IF(OR($W12&gt;=Settings!$C$21,$T12=4),"Medium","Low"))))</f>
        <v>Medium</v>
      </c>
      <c r="Y12" s="34" t="n">
        <v>0</v>
      </c>
      <c r="Z12" s="37" t="n">
        <f aca="false">IF($O12="","",$O12*Settings!$C$5)</f>
        <v>60</v>
      </c>
      <c r="AA12" s="37" t="n">
        <f aca="false">IF(OR($H12&lt;&gt;"Complaint",$P12&lt;&gt;"Upheld",$T12=""),0,IF($G12="",Settings!$C$6,$G12)*INDEX(Settings!$C$8:$C$12,6-$T12))</f>
        <v>2200</v>
      </c>
      <c r="AB12" s="37" t="n">
        <f aca="false">IF($B12="","",IF($Y12="",0,$Y12)+IF($Z12="",0,$Z12)+IF($AA12="",0,$AA12))</f>
        <v>2260</v>
      </c>
      <c r="AC12" s="35" t="s">
        <v>281</v>
      </c>
      <c r="AD12" s="33" t="s">
        <v>94</v>
      </c>
      <c r="AE12" s="36" t="str">
        <f aca="false">IF($B12="","",IF(OR($H12="Nonconformity (process)",$S12="Yes",AND(ISNUMBER($W12),$W12&gt;=Settings!$C$20)),"YES – required","No"))</f>
        <v>No</v>
      </c>
      <c r="AF12" s="33"/>
      <c r="AG12" s="33" t="s">
        <v>97</v>
      </c>
      <c r="AH12" s="32" t="n">
        <v>46199</v>
      </c>
      <c r="AI12" s="33" t="s">
        <v>136</v>
      </c>
      <c r="AJ12" s="32" t="n">
        <v>46200</v>
      </c>
      <c r="AK12" s="31" t="n">
        <f aca="false">IF(OR($B12="",$AJ12=""),"",$AJ12-$B12)</f>
        <v>6</v>
      </c>
      <c r="AL12" s="38" t="n">
        <f aca="false">IF($X12="","",INDEX(Settings!$C$15:$C$17,MATCH($X12,Settings!$B$15:$B$17,0)))</f>
        <v>5</v>
      </c>
      <c r="AM12" s="36" t="str">
        <f aca="true">IF($B12="","",IF($AH12="","No due date",IF($AI12="Closed",IF($AJ12="","Missing close date",IF($AJ12&lt;=$AH12,"On time","Late")),IF(TODAY()&gt;$AH12,"OVERDUE","In progress"))))</f>
        <v>Late</v>
      </c>
      <c r="AN12" s="35"/>
    </row>
    <row r="13" customFormat="false" ht="27.75" hidden="false" customHeight="true" outlineLevel="0" collapsed="false">
      <c r="A13" s="31" t="n">
        <f aca="false">IF($B13="","",ROW()-4)</f>
        <v>9</v>
      </c>
      <c r="B13" s="32" t="n">
        <v>46200</v>
      </c>
      <c r="C13" s="32" t="n">
        <v>46199</v>
      </c>
      <c r="D13" s="33" t="s">
        <v>84</v>
      </c>
      <c r="E13" s="33" t="s">
        <v>282</v>
      </c>
      <c r="F13" s="33" t="s">
        <v>85</v>
      </c>
      <c r="G13" s="34" t="n">
        <v>55000</v>
      </c>
      <c r="H13" s="33" t="s">
        <v>86</v>
      </c>
      <c r="I13" s="33" t="s">
        <v>115</v>
      </c>
      <c r="J13" s="33" t="s">
        <v>152</v>
      </c>
      <c r="K13" s="33" t="s">
        <v>89</v>
      </c>
      <c r="L13" s="35" t="s">
        <v>283</v>
      </c>
      <c r="M13" s="33" t="s">
        <v>90</v>
      </c>
      <c r="N13" s="33" t="s">
        <v>108</v>
      </c>
      <c r="O13" s="33" t="n">
        <v>6</v>
      </c>
      <c r="P13" s="33" t="s">
        <v>98</v>
      </c>
      <c r="Q13" s="35" t="s">
        <v>91</v>
      </c>
      <c r="R13" s="33" t="s">
        <v>135</v>
      </c>
      <c r="S13" s="33" t="s">
        <v>94</v>
      </c>
      <c r="T13" s="33" t="n">
        <v>5</v>
      </c>
      <c r="U13" s="33" t="n">
        <v>5</v>
      </c>
      <c r="V13" s="33" t="n">
        <v>3</v>
      </c>
      <c r="W13" s="31" t="n">
        <f aca="false">IF(OR($T13="",$U13="",$V13=""),"",$T13*$U13*$V13)</f>
        <v>75</v>
      </c>
      <c r="X13" s="36" t="str">
        <f aca="false">IF($W13="","",IF($T13=5,"High",IF($W13&gt;=Settings!$C$20,"High",IF(OR($W13&gt;=Settings!$C$21,$T13=4),"Medium","Low"))))</f>
        <v>High</v>
      </c>
      <c r="Y13" s="34" t="n">
        <v>900</v>
      </c>
      <c r="Z13" s="37" t="n">
        <f aca="false">IF($O13="","",$O13*Settings!$C$5)</f>
        <v>72</v>
      </c>
      <c r="AA13" s="37" t="n">
        <f aca="false">IF(OR($H13&lt;&gt;"Complaint",$P13&lt;&gt;"Upheld",$T13=""),0,IF($G13="",Settings!$C$6,$G13)*INDEX(Settings!$C$8:$C$12,6-$T13))</f>
        <v>22000</v>
      </c>
      <c r="AB13" s="37" t="n">
        <f aca="false">IF($B13="","",IF($Y13="",0,$Y13)+IF($Z13="",0,$Z13)+IF($AA13="",0,$AA13))</f>
        <v>22972</v>
      </c>
      <c r="AC13" s="35" t="s">
        <v>284</v>
      </c>
      <c r="AD13" s="33" t="s">
        <v>94</v>
      </c>
      <c r="AE13" s="36" t="str">
        <f aca="false">IF($B13="","",IF(OR($H13="Nonconformity (process)",$S13="Yes",AND(ISNUMBER($W13),$W13&gt;=Settings!$C$20)),"YES – required","No"))</f>
        <v>YES – required</v>
      </c>
      <c r="AF13" s="33" t="s">
        <v>255</v>
      </c>
      <c r="AG13" s="33" t="s">
        <v>111</v>
      </c>
      <c r="AH13" s="32" t="n">
        <v>46202</v>
      </c>
      <c r="AI13" s="33" t="s">
        <v>107</v>
      </c>
      <c r="AJ13" s="32"/>
      <c r="AK13" s="31" t="str">
        <f aca="false">IF(OR($B13="",$AJ13=""),"",$AJ13-$B13)</f>
        <v/>
      </c>
      <c r="AL13" s="38" t="n">
        <f aca="false">IF($X13="","",INDEX(Settings!$C$15:$C$17,MATCH($X13,Settings!$B$15:$B$17,0)))</f>
        <v>2</v>
      </c>
      <c r="AM13" s="36" t="str">
        <f aca="true">IF($B13="","",IF($AH13="","No due date",IF($AI13="Closed",IF($AJ13="","Missing close date",IF($AJ13&lt;=$AH13,"On time","Late")),IF(TODAY()&gt;$AH13,"OVERDUE","In progress"))))</f>
        <v>OVERDUE</v>
      </c>
      <c r="AN13" s="35" t="s">
        <v>285</v>
      </c>
    </row>
    <row r="14" customFormat="false" ht="27.75" hidden="false" customHeight="true" outlineLevel="0" collapsed="false">
      <c r="A14" s="31" t="n">
        <f aca="false">IF($B14="","",ROW()-4)</f>
        <v>10</v>
      </c>
      <c r="B14" s="32" t="n">
        <v>46206</v>
      </c>
      <c r="C14" s="32" t="n">
        <v>46206</v>
      </c>
      <c r="D14" s="33" t="s">
        <v>113</v>
      </c>
      <c r="E14" s="33" t="s">
        <v>286</v>
      </c>
      <c r="F14" s="33" t="s">
        <v>128</v>
      </c>
      <c r="G14" s="34" t="n">
        <v>3500</v>
      </c>
      <c r="H14" s="33" t="s">
        <v>101</v>
      </c>
      <c r="I14" s="33" t="s">
        <v>130</v>
      </c>
      <c r="J14" s="33" t="s">
        <v>142</v>
      </c>
      <c r="K14" s="33" t="s">
        <v>132</v>
      </c>
      <c r="L14" s="35" t="s">
        <v>287</v>
      </c>
      <c r="M14" s="33" t="s">
        <v>118</v>
      </c>
      <c r="N14" s="33" t="s">
        <v>108</v>
      </c>
      <c r="O14" s="33" t="n">
        <v>2</v>
      </c>
      <c r="P14" s="33"/>
      <c r="Q14" s="35" t="s">
        <v>155</v>
      </c>
      <c r="R14" s="33" t="s">
        <v>120</v>
      </c>
      <c r="S14" s="33" t="s">
        <v>108</v>
      </c>
      <c r="T14" s="33" t="n">
        <v>3</v>
      </c>
      <c r="U14" s="33" t="n">
        <v>2</v>
      </c>
      <c r="V14" s="33" t="n">
        <v>2</v>
      </c>
      <c r="W14" s="31" t="n">
        <f aca="false">IF(OR($T14="",$U14="",$V14=""),"",$T14*$U14*$V14)</f>
        <v>12</v>
      </c>
      <c r="X14" s="36" t="str">
        <f aca="false">IF($W14="","",IF($T14=5,"High",IF($W14&gt;=Settings!$C$20,"High",IF(OR($W14&gt;=Settings!$C$21,$T14=4),"Medium","Low"))))</f>
        <v>Low</v>
      </c>
      <c r="Y14" s="34" t="n">
        <v>0</v>
      </c>
      <c r="Z14" s="37" t="n">
        <f aca="false">IF($O14="","",$O14*Settings!$C$5)</f>
        <v>24</v>
      </c>
      <c r="AA14" s="37" t="n">
        <f aca="false">IF(OR($H14&lt;&gt;"Complaint",$P14&lt;&gt;"Upheld",$T14=""),0,IF($G14="",Settings!$C$6,$G14)*INDEX(Settings!$C$8:$C$12,6-$T14))</f>
        <v>0</v>
      </c>
      <c r="AB14" s="37" t="n">
        <f aca="false">IF($B14="","",IF($Y14="",0,$Y14)+IF($Z14="",0,$Z14)+IF($AA14="",0,$AA14))</f>
        <v>24</v>
      </c>
      <c r="AC14" s="35" t="s">
        <v>288</v>
      </c>
      <c r="AD14" s="33" t="s">
        <v>94</v>
      </c>
      <c r="AE14" s="36" t="str">
        <f aca="false">IF($B14="","",IF(OR($H14="Nonconformity (process)",$S14="Yes",AND(ISNUMBER($W14),$W14&gt;=Settings!$C$20)),"YES – required","No"))</f>
        <v>YES – required</v>
      </c>
      <c r="AF14" s="33" t="s">
        <v>289</v>
      </c>
      <c r="AG14" s="33" t="s">
        <v>125</v>
      </c>
      <c r="AH14" s="32" t="n">
        <v>46216</v>
      </c>
      <c r="AI14" s="33" t="s">
        <v>107</v>
      </c>
      <c r="AJ14" s="32"/>
      <c r="AK14" s="31" t="str">
        <f aca="false">IF(OR($B14="",$AJ14=""),"",$AJ14-$B14)</f>
        <v/>
      </c>
      <c r="AL14" s="38" t="n">
        <f aca="false">IF($X14="","",INDEX(Settings!$C$15:$C$17,MATCH($X14,Settings!$B$15:$B$17,0)))</f>
        <v>10</v>
      </c>
      <c r="AM14" s="36" t="str">
        <f aca="true">IF($B14="","",IF($AH14="","No due date",IF($AI14="Closed",IF($AJ14="","Missing close date",IF($AJ14&lt;=$AH14,"On time","Late")),IF(TODAY()&gt;$AH14,"OVERDUE","In progress"))))</f>
        <v>OVERDUE</v>
      </c>
      <c r="AN14" s="35"/>
    </row>
    <row r="15" customFormat="false" ht="27.75" hidden="false" customHeight="true" outlineLevel="0" collapsed="false">
      <c r="A15" s="31" t="n">
        <f aca="false">IF($B15="","",ROW()-4)</f>
        <v>11</v>
      </c>
      <c r="B15" s="32" t="n">
        <v>46212</v>
      </c>
      <c r="C15" s="32" t="n">
        <v>46211</v>
      </c>
      <c r="D15" s="33" t="s">
        <v>99</v>
      </c>
      <c r="E15" s="33" t="s">
        <v>272</v>
      </c>
      <c r="F15" s="33" t="s">
        <v>109</v>
      </c>
      <c r="G15" s="34" t="n">
        <v>9000</v>
      </c>
      <c r="H15" s="33" t="s">
        <v>86</v>
      </c>
      <c r="I15" s="33" t="s">
        <v>141</v>
      </c>
      <c r="J15" s="33" t="s">
        <v>169</v>
      </c>
      <c r="K15" s="33" t="s">
        <v>117</v>
      </c>
      <c r="L15" s="35" t="s">
        <v>290</v>
      </c>
      <c r="M15" s="33" t="s">
        <v>144</v>
      </c>
      <c r="N15" s="33" t="s">
        <v>94</v>
      </c>
      <c r="O15" s="33" t="n">
        <v>1</v>
      </c>
      <c r="P15" s="33" t="s">
        <v>98</v>
      </c>
      <c r="Q15" s="35" t="s">
        <v>145</v>
      </c>
      <c r="R15" s="33" t="s">
        <v>106</v>
      </c>
      <c r="S15" s="33" t="s">
        <v>94</v>
      </c>
      <c r="T15" s="33" t="n">
        <v>4</v>
      </c>
      <c r="U15" s="33" t="n">
        <v>4</v>
      </c>
      <c r="V15" s="33" t="n">
        <v>3</v>
      </c>
      <c r="W15" s="31" t="n">
        <f aca="false">IF(OR($T15="",$U15="",$V15=""),"",$T15*$U15*$V15)</f>
        <v>48</v>
      </c>
      <c r="X15" s="36" t="str">
        <f aca="false">IF($W15="","",IF($T15=5,"High",IF($W15&gt;=Settings!$C$20,"High",IF(OR($W15&gt;=Settings!$C$21,$T15=4),"Medium","Low"))))</f>
        <v>Medium</v>
      </c>
      <c r="Y15" s="34" t="n">
        <v>260</v>
      </c>
      <c r="Z15" s="37" t="n">
        <f aca="false">IF($O15="","",$O15*Settings!$C$5)</f>
        <v>12</v>
      </c>
      <c r="AA15" s="37" t="n">
        <f aca="false">IF(OR($H15&lt;&gt;"Complaint",$P15&lt;&gt;"Upheld",$T15=""),0,IF($G15="",Settings!$C$6,$G15)*INDEX(Settings!$C$8:$C$12,6-$T15))</f>
        <v>2250</v>
      </c>
      <c r="AB15" s="37" t="n">
        <f aca="false">IF($B15="","",IF($Y15="",0,$Y15)+IF($Z15="",0,$Z15)+IF($AA15="",0,$AA15))</f>
        <v>2522</v>
      </c>
      <c r="AC15" s="35" t="s">
        <v>291</v>
      </c>
      <c r="AD15" s="33" t="s">
        <v>94</v>
      </c>
      <c r="AE15" s="36" t="str">
        <f aca="false">IF($B15="","",IF(OR($H15="Nonconformity (process)",$S15="Yes",AND(ISNUMBER($W15),$W15&gt;=Settings!$C$20)),"YES – required","No"))</f>
        <v>YES – required</v>
      </c>
      <c r="AF15" s="33" t="s">
        <v>278</v>
      </c>
      <c r="AG15" s="33" t="s">
        <v>149</v>
      </c>
      <c r="AH15" s="32" t="n">
        <v>46217</v>
      </c>
      <c r="AI15" s="33" t="s">
        <v>107</v>
      </c>
      <c r="AJ15" s="32"/>
      <c r="AK15" s="31" t="str">
        <f aca="false">IF(OR($B15="",$AJ15=""),"",$AJ15-$B15)</f>
        <v/>
      </c>
      <c r="AL15" s="38" t="n">
        <f aca="false">IF($X15="","",INDEX(Settings!$C$15:$C$17,MATCH($X15,Settings!$B$15:$B$17,0)))</f>
        <v>5</v>
      </c>
      <c r="AM15" s="36" t="str">
        <f aca="true">IF($B15="","",IF($AH15="","No due date",IF($AI15="Closed",IF($AJ15="","Missing close date",IF($AJ15&lt;=$AH15,"On time","Late")),IF(TODAY()&gt;$AH15,"OVERDUE","In progress"))))</f>
        <v>OVERDUE</v>
      </c>
      <c r="AN15" s="35"/>
    </row>
    <row r="16" customFormat="false" ht="27.75" hidden="false" customHeight="true" outlineLevel="0" collapsed="false">
      <c r="A16" s="31" t="n">
        <f aca="false">IF($B16="","",ROW()-4)</f>
        <v>12</v>
      </c>
      <c r="B16" s="32" t="n">
        <v>46215</v>
      </c>
      <c r="C16" s="32" t="n">
        <v>46215</v>
      </c>
      <c r="D16" s="33" t="s">
        <v>84</v>
      </c>
      <c r="E16" s="33" t="s">
        <v>292</v>
      </c>
      <c r="F16" s="33" t="s">
        <v>109</v>
      </c>
      <c r="G16" s="34" t="n">
        <v>12000</v>
      </c>
      <c r="H16" s="33" t="s">
        <v>86</v>
      </c>
      <c r="I16" s="33" t="s">
        <v>87</v>
      </c>
      <c r="J16" s="33" t="s">
        <v>87</v>
      </c>
      <c r="K16" s="33" t="s">
        <v>167</v>
      </c>
      <c r="L16" s="35" t="s">
        <v>293</v>
      </c>
      <c r="M16" s="33" t="s">
        <v>133</v>
      </c>
      <c r="N16" s="33" t="s">
        <v>108</v>
      </c>
      <c r="O16" s="33" t="n">
        <v>2</v>
      </c>
      <c r="P16" s="33" t="s">
        <v>126</v>
      </c>
      <c r="Q16" s="35" t="s">
        <v>163</v>
      </c>
      <c r="R16" s="33" t="s">
        <v>156</v>
      </c>
      <c r="S16" s="33" t="s">
        <v>108</v>
      </c>
      <c r="T16" s="33" t="n">
        <v>3</v>
      </c>
      <c r="U16" s="33" t="n">
        <v>2</v>
      </c>
      <c r="V16" s="33" t="n">
        <v>3</v>
      </c>
      <c r="W16" s="31" t="n">
        <f aca="false">IF(OR($T16="",$U16="",$V16=""),"",$T16*$U16*$V16)</f>
        <v>18</v>
      </c>
      <c r="X16" s="36" t="str">
        <f aca="false">IF($W16="","",IF($T16=5,"High",IF($W16&gt;=Settings!$C$20,"High",IF(OR($W16&gt;=Settings!$C$21,$T16=4),"Medium","Low"))))</f>
        <v>Low</v>
      </c>
      <c r="Y16" s="34" t="n">
        <v>0</v>
      </c>
      <c r="Z16" s="37" t="n">
        <f aca="false">IF($O16="","",$O16*Settings!$C$5)</f>
        <v>24</v>
      </c>
      <c r="AA16" s="37" t="n">
        <f aca="false">IF(OR($H16&lt;&gt;"Complaint",$P16&lt;&gt;"Upheld",$T16=""),0,IF($G16="",Settings!$C$6,$G16)*INDEX(Settings!$C$8:$C$12,6-$T16))</f>
        <v>0</v>
      </c>
      <c r="AB16" s="37" t="n">
        <f aca="false">IF($B16="","",IF($Y16="",0,$Y16)+IF($Z16="",0,$Z16)+IF($AA16="",0,$AA16))</f>
        <v>24</v>
      </c>
      <c r="AC16" s="35" t="s">
        <v>294</v>
      </c>
      <c r="AD16" s="33" t="s">
        <v>108</v>
      </c>
      <c r="AE16" s="36" t="str">
        <f aca="false">IF($B16="","",IF(OR($H16="Nonconformity (process)",$S16="Yes",AND(ISNUMBER($W16),$W16&gt;=Settings!$C$20)),"YES – required","No"))</f>
        <v>No</v>
      </c>
      <c r="AF16" s="33"/>
      <c r="AG16" s="33" t="s">
        <v>158</v>
      </c>
      <c r="AH16" s="32" t="n">
        <v>46220</v>
      </c>
      <c r="AI16" s="33" t="s">
        <v>93</v>
      </c>
      <c r="AJ16" s="32"/>
      <c r="AK16" s="31" t="str">
        <f aca="false">IF(OR($B16="",$AJ16=""),"",$AJ16-$B16)</f>
        <v/>
      </c>
      <c r="AL16" s="38" t="n">
        <f aca="false">IF($X16="","",INDEX(Settings!$C$15:$C$17,MATCH($X16,Settings!$B$15:$B$17,0)))</f>
        <v>10</v>
      </c>
      <c r="AM16" s="36" t="str">
        <f aca="true">IF($B16="","",IF($AH16="","No due date",IF($AI16="Closed",IF($AJ16="","Missing close date",IF($AJ16&lt;=$AH16,"On time","Late")),IF(TODAY()&gt;$AH16,"OVERDUE","In progress"))))</f>
        <v>In progress</v>
      </c>
      <c r="AN16" s="35" t="s">
        <v>295</v>
      </c>
    </row>
    <row r="17" customFormat="false" ht="27.75" hidden="false" customHeight="true" outlineLevel="0" collapsed="false">
      <c r="A17" s="31" t="str">
        <f aca="false">IF($B17="","",ROW()-4)</f>
        <v/>
      </c>
      <c r="B17" s="32"/>
      <c r="C17" s="32"/>
      <c r="D17" s="33"/>
      <c r="E17" s="33"/>
      <c r="F17" s="33"/>
      <c r="G17" s="34"/>
      <c r="H17" s="33"/>
      <c r="I17" s="33"/>
      <c r="J17" s="33"/>
      <c r="K17" s="33"/>
      <c r="L17" s="35"/>
      <c r="M17" s="33"/>
      <c r="N17" s="33"/>
      <c r="O17" s="33"/>
      <c r="P17" s="33"/>
      <c r="Q17" s="35"/>
      <c r="R17" s="33"/>
      <c r="S17" s="33"/>
      <c r="T17" s="33"/>
      <c r="U17" s="33"/>
      <c r="V17" s="33"/>
      <c r="W17" s="31" t="str">
        <f aca="false">IF(OR($T17="",$U17="",$V17=""),"",$T17*$U17*$V17)</f>
        <v/>
      </c>
      <c r="X17" s="36" t="str">
        <f aca="false">IF($W17="","",IF($T17=5,"High",IF($W17&gt;=Settings!$C$20,"High",IF(OR($W17&gt;=Settings!$C$21,$T17=4),"Medium","Low"))))</f>
        <v/>
      </c>
      <c r="Y17" s="34"/>
      <c r="Z17" s="37" t="str">
        <f aca="false">IF($O17="","",$O17*Settings!$C$5)</f>
        <v/>
      </c>
      <c r="AA17" s="37" t="n">
        <f aca="false">IF(OR($H17&lt;&gt;"Complaint",$P17&lt;&gt;"Upheld",$T17=""),0,IF($G17="",Settings!$C$6,$G17)*INDEX(Settings!$C$8:$C$12,6-$T17))</f>
        <v>0</v>
      </c>
      <c r="AB17" s="37" t="str">
        <f aca="false">IF($B17="","",IF($Y17="",0,$Y17)+IF($Z17="",0,$Z17)+IF($AA17="",0,$AA17))</f>
        <v/>
      </c>
      <c r="AC17" s="35"/>
      <c r="AD17" s="33"/>
      <c r="AE17" s="36" t="str">
        <f aca="false">IF($B17="","",IF(OR($H17="Nonconformity (process)",$S17="Yes",AND(ISNUMBER($W17),$W17&gt;=Settings!$C$20)),"YES – required","No"))</f>
        <v/>
      </c>
      <c r="AF17" s="33"/>
      <c r="AG17" s="33"/>
      <c r="AH17" s="32"/>
      <c r="AI17" s="33"/>
      <c r="AJ17" s="32"/>
      <c r="AK17" s="31" t="str">
        <f aca="false">IF(OR($B17="",$AJ17=""),"",$AJ17-$B17)</f>
        <v/>
      </c>
      <c r="AL17" s="31" t="str">
        <f aca="false">IF($X17="","",INDEX(Settings!$C$15:$C$17,MATCH($X17,Settings!$B$15:$B$17,0)))</f>
        <v/>
      </c>
      <c r="AM17" s="36" t="str">
        <f aca="true">IF($B17="","",IF($AH17="","No due date",IF($AI17="Closed",IF($AJ17="","Missing close date",IF($AJ17&lt;=$AH17,"On time","Late")),IF(TODAY()&gt;$AH17,"OVERDUE","In progress"))))</f>
        <v/>
      </c>
      <c r="AN17" s="35"/>
    </row>
    <row r="18" customFormat="false" ht="27.75" hidden="false" customHeight="true" outlineLevel="0" collapsed="false">
      <c r="A18" s="31" t="str">
        <f aca="false">IF($B18="","",ROW()-4)</f>
        <v/>
      </c>
      <c r="B18" s="32"/>
      <c r="C18" s="32"/>
      <c r="D18" s="33"/>
      <c r="E18" s="33"/>
      <c r="F18" s="33"/>
      <c r="G18" s="34"/>
      <c r="H18" s="33"/>
      <c r="I18" s="33"/>
      <c r="J18" s="33"/>
      <c r="K18" s="33"/>
      <c r="L18" s="35"/>
      <c r="M18" s="33"/>
      <c r="N18" s="33"/>
      <c r="O18" s="33"/>
      <c r="P18" s="33"/>
      <c r="Q18" s="35"/>
      <c r="R18" s="33"/>
      <c r="S18" s="33"/>
      <c r="T18" s="33"/>
      <c r="U18" s="33"/>
      <c r="V18" s="33"/>
      <c r="W18" s="31" t="str">
        <f aca="false">IF(OR($T18="",$U18="",$V18=""),"",$T18*$U18*$V18)</f>
        <v/>
      </c>
      <c r="X18" s="36" t="str">
        <f aca="false">IF($W18="","",IF($T18=5,"High",IF($W18&gt;=Settings!$C$20,"High",IF(OR($W18&gt;=Settings!$C$21,$T18=4),"Medium","Low"))))</f>
        <v/>
      </c>
      <c r="Y18" s="34"/>
      <c r="Z18" s="37" t="str">
        <f aca="false">IF($O18="","",$O18*Settings!$C$5)</f>
        <v/>
      </c>
      <c r="AA18" s="37" t="n">
        <f aca="false">IF(OR($H18&lt;&gt;"Complaint",$P18&lt;&gt;"Upheld",$T18=""),0,IF($G18="",Settings!$C$6,$G18)*INDEX(Settings!$C$8:$C$12,6-$T18))</f>
        <v>0</v>
      </c>
      <c r="AB18" s="37" t="str">
        <f aca="false">IF($B18="","",IF($Y18="",0,$Y18)+IF($Z18="",0,$Z18)+IF($AA18="",0,$AA18))</f>
        <v/>
      </c>
      <c r="AC18" s="35"/>
      <c r="AD18" s="33"/>
      <c r="AE18" s="36" t="str">
        <f aca="false">IF($B18="","",IF(OR($H18="Nonconformity (process)",$S18="Yes",AND(ISNUMBER($W18),$W18&gt;=Settings!$C$20)),"YES – required","No"))</f>
        <v/>
      </c>
      <c r="AF18" s="33"/>
      <c r="AG18" s="33"/>
      <c r="AH18" s="32"/>
      <c r="AI18" s="33"/>
      <c r="AJ18" s="32"/>
      <c r="AK18" s="31" t="str">
        <f aca="false">IF(OR($B18="",$AJ18=""),"",$AJ18-$B18)</f>
        <v/>
      </c>
      <c r="AL18" s="31" t="str">
        <f aca="false">IF($X18="","",INDEX(Settings!$C$15:$C$17,MATCH($X18,Settings!$B$15:$B$17,0)))</f>
        <v/>
      </c>
      <c r="AM18" s="36" t="str">
        <f aca="true">IF($B18="","",IF($AH18="","No due date",IF($AI18="Closed",IF($AJ18="","Missing close date",IF($AJ18&lt;=$AH18,"On time","Late")),IF(TODAY()&gt;$AH18,"OVERDUE","In progress"))))</f>
        <v/>
      </c>
      <c r="AN18" s="35"/>
    </row>
    <row r="19" customFormat="false" ht="27.75" hidden="false" customHeight="true" outlineLevel="0" collapsed="false">
      <c r="A19" s="31" t="str">
        <f aca="false">IF($B19="","",ROW()-4)</f>
        <v/>
      </c>
      <c r="B19" s="32"/>
      <c r="C19" s="32"/>
      <c r="D19" s="33"/>
      <c r="E19" s="33"/>
      <c r="F19" s="33"/>
      <c r="G19" s="34"/>
      <c r="H19" s="33"/>
      <c r="I19" s="33"/>
      <c r="J19" s="33"/>
      <c r="K19" s="33"/>
      <c r="L19" s="35"/>
      <c r="M19" s="33"/>
      <c r="N19" s="33"/>
      <c r="O19" s="33"/>
      <c r="P19" s="33"/>
      <c r="Q19" s="35"/>
      <c r="R19" s="33"/>
      <c r="S19" s="33"/>
      <c r="T19" s="33"/>
      <c r="U19" s="33"/>
      <c r="V19" s="33"/>
      <c r="W19" s="31" t="str">
        <f aca="false">IF(OR($T19="",$U19="",$V19=""),"",$T19*$U19*$V19)</f>
        <v/>
      </c>
      <c r="X19" s="36" t="str">
        <f aca="false">IF($W19="","",IF($T19=5,"High",IF($W19&gt;=Settings!$C$20,"High",IF(OR($W19&gt;=Settings!$C$21,$T19=4),"Medium","Low"))))</f>
        <v/>
      </c>
      <c r="Y19" s="34"/>
      <c r="Z19" s="37" t="str">
        <f aca="false">IF($O19="","",$O19*Settings!$C$5)</f>
        <v/>
      </c>
      <c r="AA19" s="37" t="n">
        <f aca="false">IF(OR($H19&lt;&gt;"Complaint",$P19&lt;&gt;"Upheld",$T19=""),0,IF($G19="",Settings!$C$6,$G19)*INDEX(Settings!$C$8:$C$12,6-$T19))</f>
        <v>0</v>
      </c>
      <c r="AB19" s="37" t="str">
        <f aca="false">IF($B19="","",IF($Y19="",0,$Y19)+IF($Z19="",0,$Z19)+IF($AA19="",0,$AA19))</f>
        <v/>
      </c>
      <c r="AC19" s="35"/>
      <c r="AD19" s="33"/>
      <c r="AE19" s="36" t="str">
        <f aca="false">IF($B19="","",IF(OR($H19="Nonconformity (process)",$S19="Yes",AND(ISNUMBER($W19),$W19&gt;=Settings!$C$20)),"YES – required","No"))</f>
        <v/>
      </c>
      <c r="AF19" s="33"/>
      <c r="AG19" s="33"/>
      <c r="AH19" s="32"/>
      <c r="AI19" s="33"/>
      <c r="AJ19" s="32"/>
      <c r="AK19" s="31" t="str">
        <f aca="false">IF(OR($B19="",$AJ19=""),"",$AJ19-$B19)</f>
        <v/>
      </c>
      <c r="AL19" s="31" t="str">
        <f aca="false">IF($X19="","",INDEX(Settings!$C$15:$C$17,MATCH($X19,Settings!$B$15:$B$17,0)))</f>
        <v/>
      </c>
      <c r="AM19" s="36" t="str">
        <f aca="true">IF($B19="","",IF($AH19="","No due date",IF($AI19="Closed",IF($AJ19="","Missing close date",IF($AJ19&lt;=$AH19,"On time","Late")),IF(TODAY()&gt;$AH19,"OVERDUE","In progress"))))</f>
        <v/>
      </c>
      <c r="AN19" s="35"/>
    </row>
    <row r="20" customFormat="false" ht="27.75" hidden="false" customHeight="true" outlineLevel="0" collapsed="false">
      <c r="A20" s="31" t="str">
        <f aca="false">IF($B20="","",ROW()-4)</f>
        <v/>
      </c>
      <c r="B20" s="32"/>
      <c r="C20" s="32"/>
      <c r="D20" s="33"/>
      <c r="E20" s="33"/>
      <c r="F20" s="33"/>
      <c r="G20" s="34"/>
      <c r="H20" s="33"/>
      <c r="I20" s="33"/>
      <c r="J20" s="33"/>
      <c r="K20" s="33"/>
      <c r="L20" s="35"/>
      <c r="M20" s="33"/>
      <c r="N20" s="33"/>
      <c r="O20" s="33"/>
      <c r="P20" s="33"/>
      <c r="Q20" s="35"/>
      <c r="R20" s="33"/>
      <c r="S20" s="33"/>
      <c r="T20" s="33"/>
      <c r="U20" s="33"/>
      <c r="V20" s="33"/>
      <c r="W20" s="31" t="str">
        <f aca="false">IF(OR($T20="",$U20="",$V20=""),"",$T20*$U20*$V20)</f>
        <v/>
      </c>
      <c r="X20" s="36" t="str">
        <f aca="false">IF($W20="","",IF($T20=5,"High",IF($W20&gt;=Settings!$C$20,"High",IF(OR($W20&gt;=Settings!$C$21,$T20=4),"Medium","Low"))))</f>
        <v/>
      </c>
      <c r="Y20" s="34"/>
      <c r="Z20" s="37" t="str">
        <f aca="false">IF($O20="","",$O20*Settings!$C$5)</f>
        <v/>
      </c>
      <c r="AA20" s="37" t="n">
        <f aca="false">IF(OR($H20&lt;&gt;"Complaint",$P20&lt;&gt;"Upheld",$T20=""),0,IF($G20="",Settings!$C$6,$G20)*INDEX(Settings!$C$8:$C$12,6-$T20))</f>
        <v>0</v>
      </c>
      <c r="AB20" s="37" t="str">
        <f aca="false">IF($B20="","",IF($Y20="",0,$Y20)+IF($Z20="",0,$Z20)+IF($AA20="",0,$AA20))</f>
        <v/>
      </c>
      <c r="AC20" s="35"/>
      <c r="AD20" s="33"/>
      <c r="AE20" s="36" t="str">
        <f aca="false">IF($B20="","",IF(OR($H20="Nonconformity (process)",$S20="Yes",AND(ISNUMBER($W20),$W20&gt;=Settings!$C$20)),"YES – required","No"))</f>
        <v/>
      </c>
      <c r="AF20" s="33"/>
      <c r="AG20" s="33"/>
      <c r="AH20" s="32"/>
      <c r="AI20" s="33"/>
      <c r="AJ20" s="32"/>
      <c r="AK20" s="31" t="str">
        <f aca="false">IF(OR($B20="",$AJ20=""),"",$AJ20-$B20)</f>
        <v/>
      </c>
      <c r="AL20" s="31" t="str">
        <f aca="false">IF($X20="","",INDEX(Settings!$C$15:$C$17,MATCH($X20,Settings!$B$15:$B$17,0)))</f>
        <v/>
      </c>
      <c r="AM20" s="36" t="str">
        <f aca="true">IF($B20="","",IF($AH20="","No due date",IF($AI20="Closed",IF($AJ20="","Missing close date",IF($AJ20&lt;=$AH20,"On time","Late")),IF(TODAY()&gt;$AH20,"OVERDUE","In progress"))))</f>
        <v/>
      </c>
      <c r="AN20" s="35"/>
    </row>
    <row r="21" customFormat="false" ht="27.75" hidden="false" customHeight="true" outlineLevel="0" collapsed="false">
      <c r="A21" s="31" t="str">
        <f aca="false">IF($B21="","",ROW()-4)</f>
        <v/>
      </c>
      <c r="B21" s="32"/>
      <c r="C21" s="32"/>
      <c r="D21" s="33"/>
      <c r="E21" s="33"/>
      <c r="F21" s="33"/>
      <c r="G21" s="34"/>
      <c r="H21" s="33"/>
      <c r="I21" s="33"/>
      <c r="J21" s="33"/>
      <c r="K21" s="33"/>
      <c r="L21" s="35"/>
      <c r="M21" s="33"/>
      <c r="N21" s="33"/>
      <c r="O21" s="33"/>
      <c r="P21" s="33"/>
      <c r="Q21" s="35"/>
      <c r="R21" s="33"/>
      <c r="S21" s="33"/>
      <c r="T21" s="33"/>
      <c r="U21" s="33"/>
      <c r="V21" s="33"/>
      <c r="W21" s="31" t="str">
        <f aca="false">IF(OR($T21="",$U21="",$V21=""),"",$T21*$U21*$V21)</f>
        <v/>
      </c>
      <c r="X21" s="36" t="str">
        <f aca="false">IF($W21="","",IF($T21=5,"High",IF($W21&gt;=Settings!$C$20,"High",IF(OR($W21&gt;=Settings!$C$21,$T21=4),"Medium","Low"))))</f>
        <v/>
      </c>
      <c r="Y21" s="34"/>
      <c r="Z21" s="37" t="str">
        <f aca="false">IF($O21="","",$O21*Settings!$C$5)</f>
        <v/>
      </c>
      <c r="AA21" s="37" t="n">
        <f aca="false">IF(OR($H21&lt;&gt;"Complaint",$P21&lt;&gt;"Upheld",$T21=""),0,IF($G21="",Settings!$C$6,$G21)*INDEX(Settings!$C$8:$C$12,6-$T21))</f>
        <v>0</v>
      </c>
      <c r="AB21" s="37" t="str">
        <f aca="false">IF($B21="","",IF($Y21="",0,$Y21)+IF($Z21="",0,$Z21)+IF($AA21="",0,$AA21))</f>
        <v/>
      </c>
      <c r="AC21" s="35"/>
      <c r="AD21" s="33"/>
      <c r="AE21" s="36" t="str">
        <f aca="false">IF($B21="","",IF(OR($H21="Nonconformity (process)",$S21="Yes",AND(ISNUMBER($W21),$W21&gt;=Settings!$C$20)),"YES – required","No"))</f>
        <v/>
      </c>
      <c r="AF21" s="33"/>
      <c r="AG21" s="33"/>
      <c r="AH21" s="32"/>
      <c r="AI21" s="33"/>
      <c r="AJ21" s="32"/>
      <c r="AK21" s="31" t="str">
        <f aca="false">IF(OR($B21="",$AJ21=""),"",$AJ21-$B21)</f>
        <v/>
      </c>
      <c r="AL21" s="31" t="str">
        <f aca="false">IF($X21="","",INDEX(Settings!$C$15:$C$17,MATCH($X21,Settings!$B$15:$B$17,0)))</f>
        <v/>
      </c>
      <c r="AM21" s="36" t="str">
        <f aca="true">IF($B21="","",IF($AH21="","No due date",IF($AI21="Closed",IF($AJ21="","Missing close date",IF($AJ21&lt;=$AH21,"On time","Late")),IF(TODAY()&gt;$AH21,"OVERDUE","In progress"))))</f>
        <v/>
      </c>
      <c r="AN21" s="35"/>
    </row>
    <row r="22" customFormat="false" ht="27.75" hidden="false" customHeight="true" outlineLevel="0" collapsed="false">
      <c r="A22" s="31" t="str">
        <f aca="false">IF($B22="","",ROW()-4)</f>
        <v/>
      </c>
      <c r="B22" s="32"/>
      <c r="C22" s="32"/>
      <c r="D22" s="33"/>
      <c r="E22" s="33"/>
      <c r="F22" s="33"/>
      <c r="G22" s="34"/>
      <c r="H22" s="33"/>
      <c r="I22" s="33"/>
      <c r="J22" s="33"/>
      <c r="K22" s="33"/>
      <c r="L22" s="35"/>
      <c r="M22" s="33"/>
      <c r="N22" s="33"/>
      <c r="O22" s="33"/>
      <c r="P22" s="33"/>
      <c r="Q22" s="35"/>
      <c r="R22" s="33"/>
      <c r="S22" s="33"/>
      <c r="T22" s="33"/>
      <c r="U22" s="33"/>
      <c r="V22" s="33"/>
      <c r="W22" s="31" t="str">
        <f aca="false">IF(OR($T22="",$U22="",$V22=""),"",$T22*$U22*$V22)</f>
        <v/>
      </c>
      <c r="X22" s="36" t="str">
        <f aca="false">IF($W22="","",IF($T22=5,"High",IF($W22&gt;=Settings!$C$20,"High",IF(OR($W22&gt;=Settings!$C$21,$T22=4),"Medium","Low"))))</f>
        <v/>
      </c>
      <c r="Y22" s="34"/>
      <c r="Z22" s="37" t="str">
        <f aca="false">IF($O22="","",$O22*Settings!$C$5)</f>
        <v/>
      </c>
      <c r="AA22" s="37" t="n">
        <f aca="false">IF(OR($H22&lt;&gt;"Complaint",$P22&lt;&gt;"Upheld",$T22=""),0,IF($G22="",Settings!$C$6,$G22)*INDEX(Settings!$C$8:$C$12,6-$T22))</f>
        <v>0</v>
      </c>
      <c r="AB22" s="37" t="str">
        <f aca="false">IF($B22="","",IF($Y22="",0,$Y22)+IF($Z22="",0,$Z22)+IF($AA22="",0,$AA22))</f>
        <v/>
      </c>
      <c r="AC22" s="35"/>
      <c r="AD22" s="33"/>
      <c r="AE22" s="36" t="str">
        <f aca="false">IF($B22="","",IF(OR($H22="Nonconformity (process)",$S22="Yes",AND(ISNUMBER($W22),$W22&gt;=Settings!$C$20)),"YES – required","No"))</f>
        <v/>
      </c>
      <c r="AF22" s="33"/>
      <c r="AG22" s="33"/>
      <c r="AH22" s="32"/>
      <c r="AI22" s="33"/>
      <c r="AJ22" s="32"/>
      <c r="AK22" s="31" t="str">
        <f aca="false">IF(OR($B22="",$AJ22=""),"",$AJ22-$B22)</f>
        <v/>
      </c>
      <c r="AL22" s="31" t="str">
        <f aca="false">IF($X22="","",INDEX(Settings!$C$15:$C$17,MATCH($X22,Settings!$B$15:$B$17,0)))</f>
        <v/>
      </c>
      <c r="AM22" s="36" t="str">
        <f aca="true">IF($B22="","",IF($AH22="","No due date",IF($AI22="Closed",IF($AJ22="","Missing close date",IF($AJ22&lt;=$AH22,"On time","Late")),IF(TODAY()&gt;$AH22,"OVERDUE","In progress"))))</f>
        <v/>
      </c>
      <c r="AN22" s="35"/>
    </row>
    <row r="23" customFormat="false" ht="27.75" hidden="false" customHeight="true" outlineLevel="0" collapsed="false">
      <c r="A23" s="31" t="str">
        <f aca="false">IF($B23="","",ROW()-4)</f>
        <v/>
      </c>
      <c r="B23" s="32"/>
      <c r="C23" s="32"/>
      <c r="D23" s="33"/>
      <c r="E23" s="33"/>
      <c r="F23" s="33"/>
      <c r="G23" s="34"/>
      <c r="H23" s="33"/>
      <c r="I23" s="33"/>
      <c r="J23" s="33"/>
      <c r="K23" s="33"/>
      <c r="L23" s="35"/>
      <c r="M23" s="33"/>
      <c r="N23" s="33"/>
      <c r="O23" s="33"/>
      <c r="P23" s="33"/>
      <c r="Q23" s="35"/>
      <c r="R23" s="33"/>
      <c r="S23" s="33"/>
      <c r="T23" s="33"/>
      <c r="U23" s="33"/>
      <c r="V23" s="33"/>
      <c r="W23" s="31" t="str">
        <f aca="false">IF(OR($T23="",$U23="",$V23=""),"",$T23*$U23*$V23)</f>
        <v/>
      </c>
      <c r="X23" s="36" t="str">
        <f aca="false">IF($W23="","",IF($T23=5,"High",IF($W23&gt;=Settings!$C$20,"High",IF(OR($W23&gt;=Settings!$C$21,$T23=4),"Medium","Low"))))</f>
        <v/>
      </c>
      <c r="Y23" s="34"/>
      <c r="Z23" s="37" t="str">
        <f aca="false">IF($O23="","",$O23*Settings!$C$5)</f>
        <v/>
      </c>
      <c r="AA23" s="37" t="n">
        <f aca="false">IF(OR($H23&lt;&gt;"Complaint",$P23&lt;&gt;"Upheld",$T23=""),0,IF($G23="",Settings!$C$6,$G23)*INDEX(Settings!$C$8:$C$12,6-$T23))</f>
        <v>0</v>
      </c>
      <c r="AB23" s="37" t="str">
        <f aca="false">IF($B23="","",IF($Y23="",0,$Y23)+IF($Z23="",0,$Z23)+IF($AA23="",0,$AA23))</f>
        <v/>
      </c>
      <c r="AC23" s="35"/>
      <c r="AD23" s="33"/>
      <c r="AE23" s="36" t="str">
        <f aca="false">IF($B23="","",IF(OR($H23="Nonconformity (process)",$S23="Yes",AND(ISNUMBER($W23),$W23&gt;=Settings!$C$20)),"YES – required","No"))</f>
        <v/>
      </c>
      <c r="AF23" s="33"/>
      <c r="AG23" s="33"/>
      <c r="AH23" s="32"/>
      <c r="AI23" s="33"/>
      <c r="AJ23" s="32"/>
      <c r="AK23" s="31" t="str">
        <f aca="false">IF(OR($B23="",$AJ23=""),"",$AJ23-$B23)</f>
        <v/>
      </c>
      <c r="AL23" s="31" t="str">
        <f aca="false">IF($X23="","",INDEX(Settings!$C$15:$C$17,MATCH($X23,Settings!$B$15:$B$17,0)))</f>
        <v/>
      </c>
      <c r="AM23" s="36" t="str">
        <f aca="true">IF($B23="","",IF($AH23="","No due date",IF($AI23="Closed",IF($AJ23="","Missing close date",IF($AJ23&lt;=$AH23,"On time","Late")),IF(TODAY()&gt;$AH23,"OVERDUE","In progress"))))</f>
        <v/>
      </c>
      <c r="AN23" s="35"/>
    </row>
    <row r="24" customFormat="false" ht="27.75" hidden="false" customHeight="true" outlineLevel="0" collapsed="false">
      <c r="A24" s="31" t="str">
        <f aca="false">IF($B24="","",ROW()-4)</f>
        <v/>
      </c>
      <c r="B24" s="32"/>
      <c r="C24" s="32"/>
      <c r="D24" s="33"/>
      <c r="E24" s="33"/>
      <c r="F24" s="33"/>
      <c r="G24" s="34"/>
      <c r="H24" s="33"/>
      <c r="I24" s="33"/>
      <c r="J24" s="33"/>
      <c r="K24" s="33"/>
      <c r="L24" s="35"/>
      <c r="M24" s="33"/>
      <c r="N24" s="33"/>
      <c r="O24" s="33"/>
      <c r="P24" s="33"/>
      <c r="Q24" s="35"/>
      <c r="R24" s="33"/>
      <c r="S24" s="33"/>
      <c r="T24" s="33"/>
      <c r="U24" s="33"/>
      <c r="V24" s="33"/>
      <c r="W24" s="31" t="str">
        <f aca="false">IF(OR($T24="",$U24="",$V24=""),"",$T24*$U24*$V24)</f>
        <v/>
      </c>
      <c r="X24" s="36" t="str">
        <f aca="false">IF($W24="","",IF($T24=5,"High",IF($W24&gt;=Settings!$C$20,"High",IF(OR($W24&gt;=Settings!$C$21,$T24=4),"Medium","Low"))))</f>
        <v/>
      </c>
      <c r="Y24" s="34"/>
      <c r="Z24" s="37" t="str">
        <f aca="false">IF($O24="","",$O24*Settings!$C$5)</f>
        <v/>
      </c>
      <c r="AA24" s="37" t="n">
        <f aca="false">IF(OR($H24&lt;&gt;"Complaint",$P24&lt;&gt;"Upheld",$T24=""),0,IF($G24="",Settings!$C$6,$G24)*INDEX(Settings!$C$8:$C$12,6-$T24))</f>
        <v>0</v>
      </c>
      <c r="AB24" s="37" t="str">
        <f aca="false">IF($B24="","",IF($Y24="",0,$Y24)+IF($Z24="",0,$Z24)+IF($AA24="",0,$AA24))</f>
        <v/>
      </c>
      <c r="AC24" s="35"/>
      <c r="AD24" s="33"/>
      <c r="AE24" s="36" t="str">
        <f aca="false">IF($B24="","",IF(OR($H24="Nonconformity (process)",$S24="Yes",AND(ISNUMBER($W24),$W24&gt;=Settings!$C$20)),"YES – required","No"))</f>
        <v/>
      </c>
      <c r="AF24" s="33"/>
      <c r="AG24" s="33"/>
      <c r="AH24" s="32"/>
      <c r="AI24" s="33"/>
      <c r="AJ24" s="32"/>
      <c r="AK24" s="31" t="str">
        <f aca="false">IF(OR($B24="",$AJ24=""),"",$AJ24-$B24)</f>
        <v/>
      </c>
      <c r="AL24" s="31" t="str">
        <f aca="false">IF($X24="","",INDEX(Settings!$C$15:$C$17,MATCH($X24,Settings!$B$15:$B$17,0)))</f>
        <v/>
      </c>
      <c r="AM24" s="36" t="str">
        <f aca="true">IF($B24="","",IF($AH24="","No due date",IF($AI24="Closed",IF($AJ24="","Missing close date",IF($AJ24&lt;=$AH24,"On time","Late")),IF(TODAY()&gt;$AH24,"OVERDUE","In progress"))))</f>
        <v/>
      </c>
      <c r="AN24" s="35"/>
    </row>
    <row r="25" customFormat="false" ht="27.75" hidden="false" customHeight="true" outlineLevel="0" collapsed="false">
      <c r="A25" s="31" t="str">
        <f aca="false">IF($B25="","",ROW()-4)</f>
        <v/>
      </c>
      <c r="B25" s="32"/>
      <c r="C25" s="32"/>
      <c r="D25" s="33"/>
      <c r="E25" s="33"/>
      <c r="F25" s="33"/>
      <c r="G25" s="34"/>
      <c r="H25" s="33"/>
      <c r="I25" s="33"/>
      <c r="J25" s="33"/>
      <c r="K25" s="33"/>
      <c r="L25" s="35"/>
      <c r="M25" s="33"/>
      <c r="N25" s="33"/>
      <c r="O25" s="33"/>
      <c r="P25" s="33"/>
      <c r="Q25" s="35"/>
      <c r="R25" s="33"/>
      <c r="S25" s="33"/>
      <c r="T25" s="33"/>
      <c r="U25" s="33"/>
      <c r="V25" s="33"/>
      <c r="W25" s="31" t="str">
        <f aca="false">IF(OR($T25="",$U25="",$V25=""),"",$T25*$U25*$V25)</f>
        <v/>
      </c>
      <c r="X25" s="36" t="str">
        <f aca="false">IF($W25="","",IF($T25=5,"High",IF($W25&gt;=Settings!$C$20,"High",IF(OR($W25&gt;=Settings!$C$21,$T25=4),"Medium","Low"))))</f>
        <v/>
      </c>
      <c r="Y25" s="34"/>
      <c r="Z25" s="37" t="str">
        <f aca="false">IF($O25="","",$O25*Settings!$C$5)</f>
        <v/>
      </c>
      <c r="AA25" s="37" t="n">
        <f aca="false">IF(OR($H25&lt;&gt;"Complaint",$P25&lt;&gt;"Upheld",$T25=""),0,IF($G25="",Settings!$C$6,$G25)*INDEX(Settings!$C$8:$C$12,6-$T25))</f>
        <v>0</v>
      </c>
      <c r="AB25" s="37" t="str">
        <f aca="false">IF($B25="","",IF($Y25="",0,$Y25)+IF($Z25="",0,$Z25)+IF($AA25="",0,$AA25))</f>
        <v/>
      </c>
      <c r="AC25" s="35"/>
      <c r="AD25" s="33"/>
      <c r="AE25" s="36" t="str">
        <f aca="false">IF($B25="","",IF(OR($H25="Nonconformity (process)",$S25="Yes",AND(ISNUMBER($W25),$W25&gt;=Settings!$C$20)),"YES – required","No"))</f>
        <v/>
      </c>
      <c r="AF25" s="33"/>
      <c r="AG25" s="33"/>
      <c r="AH25" s="32"/>
      <c r="AI25" s="33"/>
      <c r="AJ25" s="32"/>
      <c r="AK25" s="31" t="str">
        <f aca="false">IF(OR($B25="",$AJ25=""),"",$AJ25-$B25)</f>
        <v/>
      </c>
      <c r="AL25" s="31" t="str">
        <f aca="false">IF($X25="","",INDEX(Settings!$C$15:$C$17,MATCH($X25,Settings!$B$15:$B$17,0)))</f>
        <v/>
      </c>
      <c r="AM25" s="36" t="str">
        <f aca="true">IF($B25="","",IF($AH25="","No due date",IF($AI25="Closed",IF($AJ25="","Missing close date",IF($AJ25&lt;=$AH25,"On time","Late")),IF(TODAY()&gt;$AH25,"OVERDUE","In progress"))))</f>
        <v/>
      </c>
      <c r="AN25" s="35"/>
    </row>
    <row r="26" customFormat="false" ht="27.75" hidden="false" customHeight="true" outlineLevel="0" collapsed="false">
      <c r="A26" s="31" t="str">
        <f aca="false">IF($B26="","",ROW()-4)</f>
        <v/>
      </c>
      <c r="B26" s="32"/>
      <c r="C26" s="32"/>
      <c r="D26" s="33"/>
      <c r="E26" s="33"/>
      <c r="F26" s="33"/>
      <c r="G26" s="34"/>
      <c r="H26" s="33"/>
      <c r="I26" s="33"/>
      <c r="J26" s="33"/>
      <c r="K26" s="33"/>
      <c r="L26" s="35"/>
      <c r="M26" s="33"/>
      <c r="N26" s="33"/>
      <c r="O26" s="33"/>
      <c r="P26" s="33"/>
      <c r="Q26" s="35"/>
      <c r="R26" s="33"/>
      <c r="S26" s="33"/>
      <c r="T26" s="33"/>
      <c r="U26" s="33"/>
      <c r="V26" s="33"/>
      <c r="W26" s="31" t="str">
        <f aca="false">IF(OR($T26="",$U26="",$V26=""),"",$T26*$U26*$V26)</f>
        <v/>
      </c>
      <c r="X26" s="36" t="str">
        <f aca="false">IF($W26="","",IF($T26=5,"High",IF($W26&gt;=Settings!$C$20,"High",IF(OR($W26&gt;=Settings!$C$21,$T26=4),"Medium","Low"))))</f>
        <v/>
      </c>
      <c r="Y26" s="34"/>
      <c r="Z26" s="37" t="str">
        <f aca="false">IF($O26="","",$O26*Settings!$C$5)</f>
        <v/>
      </c>
      <c r="AA26" s="37" t="n">
        <f aca="false">IF(OR($H26&lt;&gt;"Complaint",$P26&lt;&gt;"Upheld",$T26=""),0,IF($G26="",Settings!$C$6,$G26)*INDEX(Settings!$C$8:$C$12,6-$T26))</f>
        <v>0</v>
      </c>
      <c r="AB26" s="37" t="str">
        <f aca="false">IF($B26="","",IF($Y26="",0,$Y26)+IF($Z26="",0,$Z26)+IF($AA26="",0,$AA26))</f>
        <v/>
      </c>
      <c r="AC26" s="35"/>
      <c r="AD26" s="33"/>
      <c r="AE26" s="36" t="str">
        <f aca="false">IF($B26="","",IF(OR($H26="Nonconformity (process)",$S26="Yes",AND(ISNUMBER($W26),$W26&gt;=Settings!$C$20)),"YES – required","No"))</f>
        <v/>
      </c>
      <c r="AF26" s="33"/>
      <c r="AG26" s="33"/>
      <c r="AH26" s="32"/>
      <c r="AI26" s="33"/>
      <c r="AJ26" s="32"/>
      <c r="AK26" s="31" t="str">
        <f aca="false">IF(OR($B26="",$AJ26=""),"",$AJ26-$B26)</f>
        <v/>
      </c>
      <c r="AL26" s="31" t="str">
        <f aca="false">IF($X26="","",INDEX(Settings!$C$15:$C$17,MATCH($X26,Settings!$B$15:$B$17,0)))</f>
        <v/>
      </c>
      <c r="AM26" s="36" t="str">
        <f aca="true">IF($B26="","",IF($AH26="","No due date",IF($AI26="Closed",IF($AJ26="","Missing close date",IF($AJ26&lt;=$AH26,"On time","Late")),IF(TODAY()&gt;$AH26,"OVERDUE","In progress"))))</f>
        <v/>
      </c>
      <c r="AN26" s="35"/>
    </row>
    <row r="27" customFormat="false" ht="27.75" hidden="false" customHeight="true" outlineLevel="0" collapsed="false">
      <c r="A27" s="31" t="str">
        <f aca="false">IF($B27="","",ROW()-4)</f>
        <v/>
      </c>
      <c r="B27" s="32"/>
      <c r="C27" s="32"/>
      <c r="D27" s="33"/>
      <c r="E27" s="33"/>
      <c r="F27" s="33"/>
      <c r="G27" s="34"/>
      <c r="H27" s="33"/>
      <c r="I27" s="33"/>
      <c r="J27" s="33"/>
      <c r="K27" s="33"/>
      <c r="L27" s="35"/>
      <c r="M27" s="33"/>
      <c r="N27" s="33"/>
      <c r="O27" s="33"/>
      <c r="P27" s="33"/>
      <c r="Q27" s="35"/>
      <c r="R27" s="33"/>
      <c r="S27" s="33"/>
      <c r="T27" s="33"/>
      <c r="U27" s="33"/>
      <c r="V27" s="33"/>
      <c r="W27" s="31" t="str">
        <f aca="false">IF(OR($T27="",$U27="",$V27=""),"",$T27*$U27*$V27)</f>
        <v/>
      </c>
      <c r="X27" s="36" t="str">
        <f aca="false">IF($W27="","",IF($T27=5,"High",IF($W27&gt;=Settings!$C$20,"High",IF(OR($W27&gt;=Settings!$C$21,$T27=4),"Medium","Low"))))</f>
        <v/>
      </c>
      <c r="Y27" s="34"/>
      <c r="Z27" s="37" t="str">
        <f aca="false">IF($O27="","",$O27*Settings!$C$5)</f>
        <v/>
      </c>
      <c r="AA27" s="37" t="n">
        <f aca="false">IF(OR($H27&lt;&gt;"Complaint",$P27&lt;&gt;"Upheld",$T27=""),0,IF($G27="",Settings!$C$6,$G27)*INDEX(Settings!$C$8:$C$12,6-$T27))</f>
        <v>0</v>
      </c>
      <c r="AB27" s="37" t="str">
        <f aca="false">IF($B27="","",IF($Y27="",0,$Y27)+IF($Z27="",0,$Z27)+IF($AA27="",0,$AA27))</f>
        <v/>
      </c>
      <c r="AC27" s="35"/>
      <c r="AD27" s="33"/>
      <c r="AE27" s="36" t="str">
        <f aca="false">IF($B27="","",IF(OR($H27="Nonconformity (process)",$S27="Yes",AND(ISNUMBER($W27),$W27&gt;=Settings!$C$20)),"YES – required","No"))</f>
        <v/>
      </c>
      <c r="AF27" s="33"/>
      <c r="AG27" s="33"/>
      <c r="AH27" s="32"/>
      <c r="AI27" s="33"/>
      <c r="AJ27" s="32"/>
      <c r="AK27" s="31" t="str">
        <f aca="false">IF(OR($B27="",$AJ27=""),"",$AJ27-$B27)</f>
        <v/>
      </c>
      <c r="AL27" s="31" t="str">
        <f aca="false">IF($X27="","",INDEX(Settings!$C$15:$C$17,MATCH($X27,Settings!$B$15:$B$17,0)))</f>
        <v/>
      </c>
      <c r="AM27" s="36" t="str">
        <f aca="true">IF($B27="","",IF($AH27="","No due date",IF($AI27="Closed",IF($AJ27="","Missing close date",IF($AJ27&lt;=$AH27,"On time","Late")),IF(TODAY()&gt;$AH27,"OVERDUE","In progress"))))</f>
        <v/>
      </c>
      <c r="AN27" s="35"/>
    </row>
    <row r="28" customFormat="false" ht="27.75" hidden="false" customHeight="true" outlineLevel="0" collapsed="false">
      <c r="A28" s="31" t="str">
        <f aca="false">IF($B28="","",ROW()-4)</f>
        <v/>
      </c>
      <c r="B28" s="32"/>
      <c r="C28" s="32"/>
      <c r="D28" s="33"/>
      <c r="E28" s="33"/>
      <c r="F28" s="33"/>
      <c r="G28" s="34"/>
      <c r="H28" s="33"/>
      <c r="I28" s="33"/>
      <c r="J28" s="33"/>
      <c r="K28" s="33"/>
      <c r="L28" s="35"/>
      <c r="M28" s="33"/>
      <c r="N28" s="33"/>
      <c r="O28" s="33"/>
      <c r="P28" s="33"/>
      <c r="Q28" s="35"/>
      <c r="R28" s="33"/>
      <c r="S28" s="33"/>
      <c r="T28" s="33"/>
      <c r="U28" s="33"/>
      <c r="V28" s="33"/>
      <c r="W28" s="31" t="str">
        <f aca="false">IF(OR($T28="",$U28="",$V28=""),"",$T28*$U28*$V28)</f>
        <v/>
      </c>
      <c r="X28" s="36" t="str">
        <f aca="false">IF($W28="","",IF($T28=5,"High",IF($W28&gt;=Settings!$C$20,"High",IF(OR($W28&gt;=Settings!$C$21,$T28=4),"Medium","Low"))))</f>
        <v/>
      </c>
      <c r="Y28" s="34"/>
      <c r="Z28" s="37" t="str">
        <f aca="false">IF($O28="","",$O28*Settings!$C$5)</f>
        <v/>
      </c>
      <c r="AA28" s="37" t="n">
        <f aca="false">IF(OR($H28&lt;&gt;"Complaint",$P28&lt;&gt;"Upheld",$T28=""),0,IF($G28="",Settings!$C$6,$G28)*INDEX(Settings!$C$8:$C$12,6-$T28))</f>
        <v>0</v>
      </c>
      <c r="AB28" s="37" t="str">
        <f aca="false">IF($B28="","",IF($Y28="",0,$Y28)+IF($Z28="",0,$Z28)+IF($AA28="",0,$AA28))</f>
        <v/>
      </c>
      <c r="AC28" s="35"/>
      <c r="AD28" s="33"/>
      <c r="AE28" s="36" t="str">
        <f aca="false">IF($B28="","",IF(OR($H28="Nonconformity (process)",$S28="Yes",AND(ISNUMBER($W28),$W28&gt;=Settings!$C$20)),"YES – required","No"))</f>
        <v/>
      </c>
      <c r="AF28" s="33"/>
      <c r="AG28" s="33"/>
      <c r="AH28" s="32"/>
      <c r="AI28" s="33"/>
      <c r="AJ28" s="32"/>
      <c r="AK28" s="31" t="str">
        <f aca="false">IF(OR($B28="",$AJ28=""),"",$AJ28-$B28)</f>
        <v/>
      </c>
      <c r="AL28" s="31" t="str">
        <f aca="false">IF($X28="","",INDEX(Settings!$C$15:$C$17,MATCH($X28,Settings!$B$15:$B$17,0)))</f>
        <v/>
      </c>
      <c r="AM28" s="36" t="str">
        <f aca="true">IF($B28="","",IF($AH28="","No due date",IF($AI28="Closed",IF($AJ28="","Missing close date",IF($AJ28&lt;=$AH28,"On time","Late")),IF(TODAY()&gt;$AH28,"OVERDUE","In progress"))))</f>
        <v/>
      </c>
      <c r="AN28" s="35"/>
    </row>
    <row r="29" customFormat="false" ht="27.75" hidden="false" customHeight="true" outlineLevel="0" collapsed="false">
      <c r="A29" s="31" t="str">
        <f aca="false">IF($B29="","",ROW()-4)</f>
        <v/>
      </c>
      <c r="B29" s="32"/>
      <c r="C29" s="32"/>
      <c r="D29" s="33"/>
      <c r="E29" s="33"/>
      <c r="F29" s="33"/>
      <c r="G29" s="34"/>
      <c r="H29" s="33"/>
      <c r="I29" s="33"/>
      <c r="J29" s="33"/>
      <c r="K29" s="33"/>
      <c r="L29" s="35"/>
      <c r="M29" s="33"/>
      <c r="N29" s="33"/>
      <c r="O29" s="33"/>
      <c r="P29" s="33"/>
      <c r="Q29" s="35"/>
      <c r="R29" s="33"/>
      <c r="S29" s="33"/>
      <c r="T29" s="33"/>
      <c r="U29" s="33"/>
      <c r="V29" s="33"/>
      <c r="W29" s="31" t="str">
        <f aca="false">IF(OR($T29="",$U29="",$V29=""),"",$T29*$U29*$V29)</f>
        <v/>
      </c>
      <c r="X29" s="36" t="str">
        <f aca="false">IF($W29="","",IF($T29=5,"High",IF($W29&gt;=Settings!$C$20,"High",IF(OR($W29&gt;=Settings!$C$21,$T29=4),"Medium","Low"))))</f>
        <v/>
      </c>
      <c r="Y29" s="34"/>
      <c r="Z29" s="37" t="str">
        <f aca="false">IF($O29="","",$O29*Settings!$C$5)</f>
        <v/>
      </c>
      <c r="AA29" s="37" t="n">
        <f aca="false">IF(OR($H29&lt;&gt;"Complaint",$P29&lt;&gt;"Upheld",$T29=""),0,IF($G29="",Settings!$C$6,$G29)*INDEX(Settings!$C$8:$C$12,6-$T29))</f>
        <v>0</v>
      </c>
      <c r="AB29" s="37" t="str">
        <f aca="false">IF($B29="","",IF($Y29="",0,$Y29)+IF($Z29="",0,$Z29)+IF($AA29="",0,$AA29))</f>
        <v/>
      </c>
      <c r="AC29" s="35"/>
      <c r="AD29" s="33"/>
      <c r="AE29" s="36" t="str">
        <f aca="false">IF($B29="","",IF(OR($H29="Nonconformity (process)",$S29="Yes",AND(ISNUMBER($W29),$W29&gt;=Settings!$C$20)),"YES – required","No"))</f>
        <v/>
      </c>
      <c r="AF29" s="33"/>
      <c r="AG29" s="33"/>
      <c r="AH29" s="32"/>
      <c r="AI29" s="33"/>
      <c r="AJ29" s="32"/>
      <c r="AK29" s="31" t="str">
        <f aca="false">IF(OR($B29="",$AJ29=""),"",$AJ29-$B29)</f>
        <v/>
      </c>
      <c r="AL29" s="31" t="str">
        <f aca="false">IF($X29="","",INDEX(Settings!$C$15:$C$17,MATCH($X29,Settings!$B$15:$B$17,0)))</f>
        <v/>
      </c>
      <c r="AM29" s="36" t="str">
        <f aca="true">IF($B29="","",IF($AH29="","No due date",IF($AI29="Closed",IF($AJ29="","Missing close date",IF($AJ29&lt;=$AH29,"On time","Late")),IF(TODAY()&gt;$AH29,"OVERDUE","In progress"))))</f>
        <v/>
      </c>
      <c r="AN29" s="35"/>
    </row>
    <row r="30" customFormat="false" ht="27.75" hidden="false" customHeight="true" outlineLevel="0" collapsed="false">
      <c r="A30" s="31" t="str">
        <f aca="false">IF($B30="","",ROW()-4)</f>
        <v/>
      </c>
      <c r="B30" s="32"/>
      <c r="C30" s="32"/>
      <c r="D30" s="33"/>
      <c r="E30" s="33"/>
      <c r="F30" s="33"/>
      <c r="G30" s="34"/>
      <c r="H30" s="33"/>
      <c r="I30" s="33"/>
      <c r="J30" s="33"/>
      <c r="K30" s="33"/>
      <c r="L30" s="35"/>
      <c r="M30" s="33"/>
      <c r="N30" s="33"/>
      <c r="O30" s="33"/>
      <c r="P30" s="33"/>
      <c r="Q30" s="35"/>
      <c r="R30" s="33"/>
      <c r="S30" s="33"/>
      <c r="T30" s="33"/>
      <c r="U30" s="33"/>
      <c r="V30" s="33"/>
      <c r="W30" s="31" t="str">
        <f aca="false">IF(OR($T30="",$U30="",$V30=""),"",$T30*$U30*$V30)</f>
        <v/>
      </c>
      <c r="X30" s="36" t="str">
        <f aca="false">IF($W30="","",IF($T30=5,"High",IF($W30&gt;=Settings!$C$20,"High",IF(OR($W30&gt;=Settings!$C$21,$T30=4),"Medium","Low"))))</f>
        <v/>
      </c>
      <c r="Y30" s="34"/>
      <c r="Z30" s="37" t="str">
        <f aca="false">IF($O30="","",$O30*Settings!$C$5)</f>
        <v/>
      </c>
      <c r="AA30" s="37" t="n">
        <f aca="false">IF(OR($H30&lt;&gt;"Complaint",$P30&lt;&gt;"Upheld",$T30=""),0,IF($G30="",Settings!$C$6,$G30)*INDEX(Settings!$C$8:$C$12,6-$T30))</f>
        <v>0</v>
      </c>
      <c r="AB30" s="37" t="str">
        <f aca="false">IF($B30="","",IF($Y30="",0,$Y30)+IF($Z30="",0,$Z30)+IF($AA30="",0,$AA30))</f>
        <v/>
      </c>
      <c r="AC30" s="35"/>
      <c r="AD30" s="33"/>
      <c r="AE30" s="36" t="str">
        <f aca="false">IF($B30="","",IF(OR($H30="Nonconformity (process)",$S30="Yes",AND(ISNUMBER($W30),$W30&gt;=Settings!$C$20)),"YES – required","No"))</f>
        <v/>
      </c>
      <c r="AF30" s="33"/>
      <c r="AG30" s="33"/>
      <c r="AH30" s="32"/>
      <c r="AI30" s="33"/>
      <c r="AJ30" s="32"/>
      <c r="AK30" s="31" t="str">
        <f aca="false">IF(OR($B30="",$AJ30=""),"",$AJ30-$B30)</f>
        <v/>
      </c>
      <c r="AL30" s="31" t="str">
        <f aca="false">IF($X30="","",INDEX(Settings!$C$15:$C$17,MATCH($X30,Settings!$B$15:$B$17,0)))</f>
        <v/>
      </c>
      <c r="AM30" s="36" t="str">
        <f aca="true">IF($B30="","",IF($AH30="","No due date",IF($AI30="Closed",IF($AJ30="","Missing close date",IF($AJ30&lt;=$AH30,"On time","Late")),IF(TODAY()&gt;$AH30,"OVERDUE","In progress"))))</f>
        <v/>
      </c>
      <c r="AN30" s="35"/>
    </row>
    <row r="31" customFormat="false" ht="27.75" hidden="false" customHeight="true" outlineLevel="0" collapsed="false">
      <c r="A31" s="31" t="str">
        <f aca="false">IF($B31="","",ROW()-4)</f>
        <v/>
      </c>
      <c r="B31" s="32"/>
      <c r="C31" s="32"/>
      <c r="D31" s="33"/>
      <c r="E31" s="33"/>
      <c r="F31" s="33"/>
      <c r="G31" s="34"/>
      <c r="H31" s="33"/>
      <c r="I31" s="33"/>
      <c r="J31" s="33"/>
      <c r="K31" s="33"/>
      <c r="L31" s="35"/>
      <c r="M31" s="33"/>
      <c r="N31" s="33"/>
      <c r="O31" s="33"/>
      <c r="P31" s="33"/>
      <c r="Q31" s="35"/>
      <c r="R31" s="33"/>
      <c r="S31" s="33"/>
      <c r="T31" s="33"/>
      <c r="U31" s="33"/>
      <c r="V31" s="33"/>
      <c r="W31" s="31" t="str">
        <f aca="false">IF(OR($T31="",$U31="",$V31=""),"",$T31*$U31*$V31)</f>
        <v/>
      </c>
      <c r="X31" s="36" t="str">
        <f aca="false">IF($W31="","",IF($T31=5,"High",IF($W31&gt;=Settings!$C$20,"High",IF(OR($W31&gt;=Settings!$C$21,$T31=4),"Medium","Low"))))</f>
        <v/>
      </c>
      <c r="Y31" s="34"/>
      <c r="Z31" s="37" t="str">
        <f aca="false">IF($O31="","",$O31*Settings!$C$5)</f>
        <v/>
      </c>
      <c r="AA31" s="37" t="n">
        <f aca="false">IF(OR($H31&lt;&gt;"Complaint",$P31&lt;&gt;"Upheld",$T31=""),0,IF($G31="",Settings!$C$6,$G31)*INDEX(Settings!$C$8:$C$12,6-$T31))</f>
        <v>0</v>
      </c>
      <c r="AB31" s="37" t="str">
        <f aca="false">IF($B31="","",IF($Y31="",0,$Y31)+IF($Z31="",0,$Z31)+IF($AA31="",0,$AA31))</f>
        <v/>
      </c>
      <c r="AC31" s="35"/>
      <c r="AD31" s="33"/>
      <c r="AE31" s="36" t="str">
        <f aca="false">IF($B31="","",IF(OR($H31="Nonconformity (process)",$S31="Yes",AND(ISNUMBER($W31),$W31&gt;=Settings!$C$20)),"YES – required","No"))</f>
        <v/>
      </c>
      <c r="AF31" s="33"/>
      <c r="AG31" s="33"/>
      <c r="AH31" s="32"/>
      <c r="AI31" s="33"/>
      <c r="AJ31" s="32"/>
      <c r="AK31" s="31" t="str">
        <f aca="false">IF(OR($B31="",$AJ31=""),"",$AJ31-$B31)</f>
        <v/>
      </c>
      <c r="AL31" s="31" t="str">
        <f aca="false">IF($X31="","",INDEX(Settings!$C$15:$C$17,MATCH($X31,Settings!$B$15:$B$17,0)))</f>
        <v/>
      </c>
      <c r="AM31" s="36" t="str">
        <f aca="true">IF($B31="","",IF($AH31="","No due date",IF($AI31="Closed",IF($AJ31="","Missing close date",IF($AJ31&lt;=$AH31,"On time","Late")),IF(TODAY()&gt;$AH31,"OVERDUE","In progress"))))</f>
        <v/>
      </c>
      <c r="AN31" s="35"/>
    </row>
    <row r="32" customFormat="false" ht="27.75" hidden="false" customHeight="true" outlineLevel="0" collapsed="false">
      <c r="A32" s="31" t="str">
        <f aca="false">IF($B32="","",ROW()-4)</f>
        <v/>
      </c>
      <c r="B32" s="32"/>
      <c r="C32" s="32"/>
      <c r="D32" s="33"/>
      <c r="E32" s="33"/>
      <c r="F32" s="33"/>
      <c r="G32" s="34"/>
      <c r="H32" s="33"/>
      <c r="I32" s="33"/>
      <c r="J32" s="33"/>
      <c r="K32" s="33"/>
      <c r="L32" s="35"/>
      <c r="M32" s="33"/>
      <c r="N32" s="33"/>
      <c r="O32" s="33"/>
      <c r="P32" s="33"/>
      <c r="Q32" s="35"/>
      <c r="R32" s="33"/>
      <c r="S32" s="33"/>
      <c r="T32" s="33"/>
      <c r="U32" s="33"/>
      <c r="V32" s="33"/>
      <c r="W32" s="31" t="str">
        <f aca="false">IF(OR($T32="",$U32="",$V32=""),"",$T32*$U32*$V32)</f>
        <v/>
      </c>
      <c r="X32" s="36" t="str">
        <f aca="false">IF($W32="","",IF($T32=5,"High",IF($W32&gt;=Settings!$C$20,"High",IF(OR($W32&gt;=Settings!$C$21,$T32=4),"Medium","Low"))))</f>
        <v/>
      </c>
      <c r="Y32" s="34"/>
      <c r="Z32" s="37" t="str">
        <f aca="false">IF($O32="","",$O32*Settings!$C$5)</f>
        <v/>
      </c>
      <c r="AA32" s="37" t="n">
        <f aca="false">IF(OR($H32&lt;&gt;"Complaint",$P32&lt;&gt;"Upheld",$T32=""),0,IF($G32="",Settings!$C$6,$G32)*INDEX(Settings!$C$8:$C$12,6-$T32))</f>
        <v>0</v>
      </c>
      <c r="AB32" s="37" t="str">
        <f aca="false">IF($B32="","",IF($Y32="",0,$Y32)+IF($Z32="",0,$Z32)+IF($AA32="",0,$AA32))</f>
        <v/>
      </c>
      <c r="AC32" s="35"/>
      <c r="AD32" s="33"/>
      <c r="AE32" s="36" t="str">
        <f aca="false">IF($B32="","",IF(OR($H32="Nonconformity (process)",$S32="Yes",AND(ISNUMBER($W32),$W32&gt;=Settings!$C$20)),"YES – required","No"))</f>
        <v/>
      </c>
      <c r="AF32" s="33"/>
      <c r="AG32" s="33"/>
      <c r="AH32" s="32"/>
      <c r="AI32" s="33"/>
      <c r="AJ32" s="32"/>
      <c r="AK32" s="31" t="str">
        <f aca="false">IF(OR($B32="",$AJ32=""),"",$AJ32-$B32)</f>
        <v/>
      </c>
      <c r="AL32" s="31" t="str">
        <f aca="false">IF($X32="","",INDEX(Settings!$C$15:$C$17,MATCH($X32,Settings!$B$15:$B$17,0)))</f>
        <v/>
      </c>
      <c r="AM32" s="36" t="str">
        <f aca="true">IF($B32="","",IF($AH32="","No due date",IF($AI32="Closed",IF($AJ32="","Missing close date",IF($AJ32&lt;=$AH32,"On time","Late")),IF(TODAY()&gt;$AH32,"OVERDUE","In progress"))))</f>
        <v/>
      </c>
      <c r="AN32" s="35"/>
    </row>
    <row r="33" customFormat="false" ht="27.75" hidden="false" customHeight="true" outlineLevel="0" collapsed="false">
      <c r="A33" s="31" t="str">
        <f aca="false">IF($B33="","",ROW()-4)</f>
        <v/>
      </c>
      <c r="B33" s="32"/>
      <c r="C33" s="32"/>
      <c r="D33" s="33"/>
      <c r="E33" s="33"/>
      <c r="F33" s="33"/>
      <c r="G33" s="34"/>
      <c r="H33" s="33"/>
      <c r="I33" s="33"/>
      <c r="J33" s="33"/>
      <c r="K33" s="33"/>
      <c r="L33" s="35"/>
      <c r="M33" s="33"/>
      <c r="N33" s="33"/>
      <c r="O33" s="33"/>
      <c r="P33" s="33"/>
      <c r="Q33" s="35"/>
      <c r="R33" s="33"/>
      <c r="S33" s="33"/>
      <c r="T33" s="33"/>
      <c r="U33" s="33"/>
      <c r="V33" s="33"/>
      <c r="W33" s="31" t="str">
        <f aca="false">IF(OR($T33="",$U33="",$V33=""),"",$T33*$U33*$V33)</f>
        <v/>
      </c>
      <c r="X33" s="36" t="str">
        <f aca="false">IF($W33="","",IF($T33=5,"High",IF($W33&gt;=Settings!$C$20,"High",IF(OR($W33&gt;=Settings!$C$21,$T33=4),"Medium","Low"))))</f>
        <v/>
      </c>
      <c r="Y33" s="34"/>
      <c r="Z33" s="37" t="str">
        <f aca="false">IF($O33="","",$O33*Settings!$C$5)</f>
        <v/>
      </c>
      <c r="AA33" s="37" t="n">
        <f aca="false">IF(OR($H33&lt;&gt;"Complaint",$P33&lt;&gt;"Upheld",$T33=""),0,IF($G33="",Settings!$C$6,$G33)*INDEX(Settings!$C$8:$C$12,6-$T33))</f>
        <v>0</v>
      </c>
      <c r="AB33" s="37" t="str">
        <f aca="false">IF($B33="","",IF($Y33="",0,$Y33)+IF($Z33="",0,$Z33)+IF($AA33="",0,$AA33))</f>
        <v/>
      </c>
      <c r="AC33" s="35"/>
      <c r="AD33" s="33"/>
      <c r="AE33" s="36" t="str">
        <f aca="false">IF($B33="","",IF(OR($H33="Nonconformity (process)",$S33="Yes",AND(ISNUMBER($W33),$W33&gt;=Settings!$C$20)),"YES – required","No"))</f>
        <v/>
      </c>
      <c r="AF33" s="33"/>
      <c r="AG33" s="33"/>
      <c r="AH33" s="32"/>
      <c r="AI33" s="33"/>
      <c r="AJ33" s="32"/>
      <c r="AK33" s="31" t="str">
        <f aca="false">IF(OR($B33="",$AJ33=""),"",$AJ33-$B33)</f>
        <v/>
      </c>
      <c r="AL33" s="31" t="str">
        <f aca="false">IF($X33="","",INDEX(Settings!$C$15:$C$17,MATCH($X33,Settings!$B$15:$B$17,0)))</f>
        <v/>
      </c>
      <c r="AM33" s="36" t="str">
        <f aca="true">IF($B33="","",IF($AH33="","No due date",IF($AI33="Closed",IF($AJ33="","Missing close date",IF($AJ33&lt;=$AH33,"On time","Late")),IF(TODAY()&gt;$AH33,"OVERDUE","In progress"))))</f>
        <v/>
      </c>
      <c r="AN33" s="35"/>
    </row>
    <row r="34" customFormat="false" ht="27.75" hidden="false" customHeight="true" outlineLevel="0" collapsed="false">
      <c r="A34" s="31" t="str">
        <f aca="false">IF($B34="","",ROW()-4)</f>
        <v/>
      </c>
      <c r="B34" s="32"/>
      <c r="C34" s="32"/>
      <c r="D34" s="33"/>
      <c r="E34" s="33"/>
      <c r="F34" s="33"/>
      <c r="G34" s="34"/>
      <c r="H34" s="33"/>
      <c r="I34" s="33"/>
      <c r="J34" s="33"/>
      <c r="K34" s="33"/>
      <c r="L34" s="35"/>
      <c r="M34" s="33"/>
      <c r="N34" s="33"/>
      <c r="O34" s="33"/>
      <c r="P34" s="33"/>
      <c r="Q34" s="35"/>
      <c r="R34" s="33"/>
      <c r="S34" s="33"/>
      <c r="T34" s="33"/>
      <c r="U34" s="33"/>
      <c r="V34" s="33"/>
      <c r="W34" s="31" t="str">
        <f aca="false">IF(OR($T34="",$U34="",$V34=""),"",$T34*$U34*$V34)</f>
        <v/>
      </c>
      <c r="X34" s="36" t="str">
        <f aca="false">IF($W34="","",IF($T34=5,"High",IF($W34&gt;=Settings!$C$20,"High",IF(OR($W34&gt;=Settings!$C$21,$T34=4),"Medium","Low"))))</f>
        <v/>
      </c>
      <c r="Y34" s="34"/>
      <c r="Z34" s="37" t="str">
        <f aca="false">IF($O34="","",$O34*Settings!$C$5)</f>
        <v/>
      </c>
      <c r="AA34" s="37" t="n">
        <f aca="false">IF(OR($H34&lt;&gt;"Complaint",$P34&lt;&gt;"Upheld",$T34=""),0,IF($G34="",Settings!$C$6,$G34)*INDEX(Settings!$C$8:$C$12,6-$T34))</f>
        <v>0</v>
      </c>
      <c r="AB34" s="37" t="str">
        <f aca="false">IF($B34="","",IF($Y34="",0,$Y34)+IF($Z34="",0,$Z34)+IF($AA34="",0,$AA34))</f>
        <v/>
      </c>
      <c r="AC34" s="35"/>
      <c r="AD34" s="33"/>
      <c r="AE34" s="36" t="str">
        <f aca="false">IF($B34="","",IF(OR($H34="Nonconformity (process)",$S34="Yes",AND(ISNUMBER($W34),$W34&gt;=Settings!$C$20)),"YES – required","No"))</f>
        <v/>
      </c>
      <c r="AF34" s="33"/>
      <c r="AG34" s="33"/>
      <c r="AH34" s="32"/>
      <c r="AI34" s="33"/>
      <c r="AJ34" s="32"/>
      <c r="AK34" s="31" t="str">
        <f aca="false">IF(OR($B34="",$AJ34=""),"",$AJ34-$B34)</f>
        <v/>
      </c>
      <c r="AL34" s="31" t="str">
        <f aca="false">IF($X34="","",INDEX(Settings!$C$15:$C$17,MATCH($X34,Settings!$B$15:$B$17,0)))</f>
        <v/>
      </c>
      <c r="AM34" s="36" t="str">
        <f aca="true">IF($B34="","",IF($AH34="","No due date",IF($AI34="Closed",IF($AJ34="","Missing close date",IF($AJ34&lt;=$AH34,"On time","Late")),IF(TODAY()&gt;$AH34,"OVERDUE","In progress"))))</f>
        <v/>
      </c>
      <c r="AN34" s="35"/>
    </row>
    <row r="35" customFormat="false" ht="27.75" hidden="false" customHeight="true" outlineLevel="0" collapsed="false">
      <c r="A35" s="31" t="str">
        <f aca="false">IF($B35="","",ROW()-4)</f>
        <v/>
      </c>
      <c r="B35" s="32"/>
      <c r="C35" s="32"/>
      <c r="D35" s="33"/>
      <c r="E35" s="33"/>
      <c r="F35" s="33"/>
      <c r="G35" s="34"/>
      <c r="H35" s="33"/>
      <c r="I35" s="33"/>
      <c r="J35" s="33"/>
      <c r="K35" s="33"/>
      <c r="L35" s="35"/>
      <c r="M35" s="33"/>
      <c r="N35" s="33"/>
      <c r="O35" s="33"/>
      <c r="P35" s="33"/>
      <c r="Q35" s="35"/>
      <c r="R35" s="33"/>
      <c r="S35" s="33"/>
      <c r="T35" s="33"/>
      <c r="U35" s="33"/>
      <c r="V35" s="33"/>
      <c r="W35" s="31" t="str">
        <f aca="false">IF(OR($T35="",$U35="",$V35=""),"",$T35*$U35*$V35)</f>
        <v/>
      </c>
      <c r="X35" s="36" t="str">
        <f aca="false">IF($W35="","",IF($T35=5,"High",IF($W35&gt;=Settings!$C$20,"High",IF(OR($W35&gt;=Settings!$C$21,$T35=4),"Medium","Low"))))</f>
        <v/>
      </c>
      <c r="Y35" s="34"/>
      <c r="Z35" s="37" t="str">
        <f aca="false">IF($O35="","",$O35*Settings!$C$5)</f>
        <v/>
      </c>
      <c r="AA35" s="37" t="n">
        <f aca="false">IF(OR($H35&lt;&gt;"Complaint",$P35&lt;&gt;"Upheld",$T35=""),0,IF($G35="",Settings!$C$6,$G35)*INDEX(Settings!$C$8:$C$12,6-$T35))</f>
        <v>0</v>
      </c>
      <c r="AB35" s="37" t="str">
        <f aca="false">IF($B35="","",IF($Y35="",0,$Y35)+IF($Z35="",0,$Z35)+IF($AA35="",0,$AA35))</f>
        <v/>
      </c>
      <c r="AC35" s="35"/>
      <c r="AD35" s="33"/>
      <c r="AE35" s="36" t="str">
        <f aca="false">IF($B35="","",IF(OR($H35="Nonconformity (process)",$S35="Yes",AND(ISNUMBER($W35),$W35&gt;=Settings!$C$20)),"YES – required","No"))</f>
        <v/>
      </c>
      <c r="AF35" s="33"/>
      <c r="AG35" s="33"/>
      <c r="AH35" s="32"/>
      <c r="AI35" s="33"/>
      <c r="AJ35" s="32"/>
      <c r="AK35" s="31" t="str">
        <f aca="false">IF(OR($B35="",$AJ35=""),"",$AJ35-$B35)</f>
        <v/>
      </c>
      <c r="AL35" s="31" t="str">
        <f aca="false">IF($X35="","",INDEX(Settings!$C$15:$C$17,MATCH($X35,Settings!$B$15:$B$17,0)))</f>
        <v/>
      </c>
      <c r="AM35" s="36" t="str">
        <f aca="true">IF($B35="","",IF($AH35="","No due date",IF($AI35="Closed",IF($AJ35="","Missing close date",IF($AJ35&lt;=$AH35,"On time","Late")),IF(TODAY()&gt;$AH35,"OVERDUE","In progress"))))</f>
        <v/>
      </c>
      <c r="AN35" s="35"/>
    </row>
    <row r="36" customFormat="false" ht="27.75" hidden="false" customHeight="true" outlineLevel="0" collapsed="false">
      <c r="A36" s="31" t="str">
        <f aca="false">IF($B36="","",ROW()-4)</f>
        <v/>
      </c>
      <c r="B36" s="32"/>
      <c r="C36" s="32"/>
      <c r="D36" s="33"/>
      <c r="E36" s="33"/>
      <c r="F36" s="33"/>
      <c r="G36" s="34"/>
      <c r="H36" s="33"/>
      <c r="I36" s="33"/>
      <c r="J36" s="33"/>
      <c r="K36" s="33"/>
      <c r="L36" s="35"/>
      <c r="M36" s="33"/>
      <c r="N36" s="33"/>
      <c r="O36" s="33"/>
      <c r="P36" s="33"/>
      <c r="Q36" s="35"/>
      <c r="R36" s="33"/>
      <c r="S36" s="33"/>
      <c r="T36" s="33"/>
      <c r="U36" s="33"/>
      <c r="V36" s="33"/>
      <c r="W36" s="31" t="str">
        <f aca="false">IF(OR($T36="",$U36="",$V36=""),"",$T36*$U36*$V36)</f>
        <v/>
      </c>
      <c r="X36" s="36" t="str">
        <f aca="false">IF($W36="","",IF($T36=5,"High",IF($W36&gt;=Settings!$C$20,"High",IF(OR($W36&gt;=Settings!$C$21,$T36=4),"Medium","Low"))))</f>
        <v/>
      </c>
      <c r="Y36" s="34"/>
      <c r="Z36" s="37" t="str">
        <f aca="false">IF($O36="","",$O36*Settings!$C$5)</f>
        <v/>
      </c>
      <c r="AA36" s="37" t="n">
        <f aca="false">IF(OR($H36&lt;&gt;"Complaint",$P36&lt;&gt;"Upheld",$T36=""),0,IF($G36="",Settings!$C$6,$G36)*INDEX(Settings!$C$8:$C$12,6-$T36))</f>
        <v>0</v>
      </c>
      <c r="AB36" s="37" t="str">
        <f aca="false">IF($B36="","",IF($Y36="",0,$Y36)+IF($Z36="",0,$Z36)+IF($AA36="",0,$AA36))</f>
        <v/>
      </c>
      <c r="AC36" s="35"/>
      <c r="AD36" s="33"/>
      <c r="AE36" s="36" t="str">
        <f aca="false">IF($B36="","",IF(OR($H36="Nonconformity (process)",$S36="Yes",AND(ISNUMBER($W36),$W36&gt;=Settings!$C$20)),"YES – required","No"))</f>
        <v/>
      </c>
      <c r="AF36" s="33"/>
      <c r="AG36" s="33"/>
      <c r="AH36" s="32"/>
      <c r="AI36" s="33"/>
      <c r="AJ36" s="32"/>
      <c r="AK36" s="31" t="str">
        <f aca="false">IF(OR($B36="",$AJ36=""),"",$AJ36-$B36)</f>
        <v/>
      </c>
      <c r="AL36" s="31" t="str">
        <f aca="false">IF($X36="","",INDEX(Settings!$C$15:$C$17,MATCH($X36,Settings!$B$15:$B$17,0)))</f>
        <v/>
      </c>
      <c r="AM36" s="36" t="str">
        <f aca="true">IF($B36="","",IF($AH36="","No due date",IF($AI36="Closed",IF($AJ36="","Missing close date",IF($AJ36&lt;=$AH36,"On time","Late")),IF(TODAY()&gt;$AH36,"OVERDUE","In progress"))))</f>
        <v/>
      </c>
      <c r="AN36" s="35"/>
    </row>
    <row r="37" customFormat="false" ht="27.75" hidden="false" customHeight="true" outlineLevel="0" collapsed="false">
      <c r="A37" s="31" t="str">
        <f aca="false">IF($B37="","",ROW()-4)</f>
        <v/>
      </c>
      <c r="B37" s="32"/>
      <c r="C37" s="32"/>
      <c r="D37" s="33"/>
      <c r="E37" s="33"/>
      <c r="F37" s="33"/>
      <c r="G37" s="34"/>
      <c r="H37" s="33"/>
      <c r="I37" s="33"/>
      <c r="J37" s="33"/>
      <c r="K37" s="33"/>
      <c r="L37" s="35"/>
      <c r="M37" s="33"/>
      <c r="N37" s="33"/>
      <c r="O37" s="33"/>
      <c r="P37" s="33"/>
      <c r="Q37" s="35"/>
      <c r="R37" s="33"/>
      <c r="S37" s="33"/>
      <c r="T37" s="33"/>
      <c r="U37" s="33"/>
      <c r="V37" s="33"/>
      <c r="W37" s="31" t="str">
        <f aca="false">IF(OR($T37="",$U37="",$V37=""),"",$T37*$U37*$V37)</f>
        <v/>
      </c>
      <c r="X37" s="36" t="str">
        <f aca="false">IF($W37="","",IF($T37=5,"High",IF($W37&gt;=Settings!$C$20,"High",IF(OR($W37&gt;=Settings!$C$21,$T37=4),"Medium","Low"))))</f>
        <v/>
      </c>
      <c r="Y37" s="34"/>
      <c r="Z37" s="37" t="str">
        <f aca="false">IF($O37="","",$O37*Settings!$C$5)</f>
        <v/>
      </c>
      <c r="AA37" s="37" t="n">
        <f aca="false">IF(OR($H37&lt;&gt;"Complaint",$P37&lt;&gt;"Upheld",$T37=""),0,IF($G37="",Settings!$C$6,$G37)*INDEX(Settings!$C$8:$C$12,6-$T37))</f>
        <v>0</v>
      </c>
      <c r="AB37" s="37" t="str">
        <f aca="false">IF($B37="","",IF($Y37="",0,$Y37)+IF($Z37="",0,$Z37)+IF($AA37="",0,$AA37))</f>
        <v/>
      </c>
      <c r="AC37" s="35"/>
      <c r="AD37" s="33"/>
      <c r="AE37" s="36" t="str">
        <f aca="false">IF($B37="","",IF(OR($H37="Nonconformity (process)",$S37="Yes",AND(ISNUMBER($W37),$W37&gt;=Settings!$C$20)),"YES – required","No"))</f>
        <v/>
      </c>
      <c r="AF37" s="33"/>
      <c r="AG37" s="33"/>
      <c r="AH37" s="32"/>
      <c r="AI37" s="33"/>
      <c r="AJ37" s="32"/>
      <c r="AK37" s="31" t="str">
        <f aca="false">IF(OR($B37="",$AJ37=""),"",$AJ37-$B37)</f>
        <v/>
      </c>
      <c r="AL37" s="31" t="str">
        <f aca="false">IF($X37="","",INDEX(Settings!$C$15:$C$17,MATCH($X37,Settings!$B$15:$B$17,0)))</f>
        <v/>
      </c>
      <c r="AM37" s="36" t="str">
        <f aca="true">IF($B37="","",IF($AH37="","No due date",IF($AI37="Closed",IF($AJ37="","Missing close date",IF($AJ37&lt;=$AH37,"On time","Late")),IF(TODAY()&gt;$AH37,"OVERDUE","In progress"))))</f>
        <v/>
      </c>
      <c r="AN37" s="35"/>
    </row>
    <row r="38" customFormat="false" ht="27.75" hidden="false" customHeight="true" outlineLevel="0" collapsed="false">
      <c r="A38" s="31" t="str">
        <f aca="false">IF($B38="","",ROW()-4)</f>
        <v/>
      </c>
      <c r="B38" s="32"/>
      <c r="C38" s="32"/>
      <c r="D38" s="33"/>
      <c r="E38" s="33"/>
      <c r="F38" s="33"/>
      <c r="G38" s="34"/>
      <c r="H38" s="33"/>
      <c r="I38" s="33"/>
      <c r="J38" s="33"/>
      <c r="K38" s="33"/>
      <c r="L38" s="35"/>
      <c r="M38" s="33"/>
      <c r="N38" s="33"/>
      <c r="O38" s="33"/>
      <c r="P38" s="33"/>
      <c r="Q38" s="35"/>
      <c r="R38" s="33"/>
      <c r="S38" s="33"/>
      <c r="T38" s="33"/>
      <c r="U38" s="33"/>
      <c r="V38" s="33"/>
      <c r="W38" s="31" t="str">
        <f aca="false">IF(OR($T38="",$U38="",$V38=""),"",$T38*$U38*$V38)</f>
        <v/>
      </c>
      <c r="X38" s="36" t="str">
        <f aca="false">IF($W38="","",IF($T38=5,"High",IF($W38&gt;=Settings!$C$20,"High",IF(OR($W38&gt;=Settings!$C$21,$T38=4),"Medium","Low"))))</f>
        <v/>
      </c>
      <c r="Y38" s="34"/>
      <c r="Z38" s="37" t="str">
        <f aca="false">IF($O38="","",$O38*Settings!$C$5)</f>
        <v/>
      </c>
      <c r="AA38" s="37" t="n">
        <f aca="false">IF(OR($H38&lt;&gt;"Complaint",$P38&lt;&gt;"Upheld",$T38=""),0,IF($G38="",Settings!$C$6,$G38)*INDEX(Settings!$C$8:$C$12,6-$T38))</f>
        <v>0</v>
      </c>
      <c r="AB38" s="37" t="str">
        <f aca="false">IF($B38="","",IF($Y38="",0,$Y38)+IF($Z38="",0,$Z38)+IF($AA38="",0,$AA38))</f>
        <v/>
      </c>
      <c r="AC38" s="35"/>
      <c r="AD38" s="33"/>
      <c r="AE38" s="36" t="str">
        <f aca="false">IF($B38="","",IF(OR($H38="Nonconformity (process)",$S38="Yes",AND(ISNUMBER($W38),$W38&gt;=Settings!$C$20)),"YES – required","No"))</f>
        <v/>
      </c>
      <c r="AF38" s="33"/>
      <c r="AG38" s="33"/>
      <c r="AH38" s="32"/>
      <c r="AI38" s="33"/>
      <c r="AJ38" s="32"/>
      <c r="AK38" s="31" t="str">
        <f aca="false">IF(OR($B38="",$AJ38=""),"",$AJ38-$B38)</f>
        <v/>
      </c>
      <c r="AL38" s="31" t="str">
        <f aca="false">IF($X38="","",INDEX(Settings!$C$15:$C$17,MATCH($X38,Settings!$B$15:$B$17,0)))</f>
        <v/>
      </c>
      <c r="AM38" s="36" t="str">
        <f aca="true">IF($B38="","",IF($AH38="","No due date",IF($AI38="Closed",IF($AJ38="","Missing close date",IF($AJ38&lt;=$AH38,"On time","Late")),IF(TODAY()&gt;$AH38,"OVERDUE","In progress"))))</f>
        <v/>
      </c>
      <c r="AN38" s="35"/>
    </row>
    <row r="39" customFormat="false" ht="27.75" hidden="false" customHeight="true" outlineLevel="0" collapsed="false">
      <c r="A39" s="31" t="str">
        <f aca="false">IF($B39="","",ROW()-4)</f>
        <v/>
      </c>
      <c r="B39" s="32"/>
      <c r="C39" s="32"/>
      <c r="D39" s="33"/>
      <c r="E39" s="33"/>
      <c r="F39" s="33"/>
      <c r="G39" s="34"/>
      <c r="H39" s="33"/>
      <c r="I39" s="33"/>
      <c r="J39" s="33"/>
      <c r="K39" s="33"/>
      <c r="L39" s="35"/>
      <c r="M39" s="33"/>
      <c r="N39" s="33"/>
      <c r="O39" s="33"/>
      <c r="P39" s="33"/>
      <c r="Q39" s="35"/>
      <c r="R39" s="33"/>
      <c r="S39" s="33"/>
      <c r="T39" s="33"/>
      <c r="U39" s="33"/>
      <c r="V39" s="33"/>
      <c r="W39" s="31" t="str">
        <f aca="false">IF(OR($T39="",$U39="",$V39=""),"",$T39*$U39*$V39)</f>
        <v/>
      </c>
      <c r="X39" s="36" t="str">
        <f aca="false">IF($W39="","",IF($T39=5,"High",IF($W39&gt;=Settings!$C$20,"High",IF(OR($W39&gt;=Settings!$C$21,$T39=4),"Medium","Low"))))</f>
        <v/>
      </c>
      <c r="Y39" s="34"/>
      <c r="Z39" s="37" t="str">
        <f aca="false">IF($O39="","",$O39*Settings!$C$5)</f>
        <v/>
      </c>
      <c r="AA39" s="37" t="n">
        <f aca="false">IF(OR($H39&lt;&gt;"Complaint",$P39&lt;&gt;"Upheld",$T39=""),0,IF($G39="",Settings!$C$6,$G39)*INDEX(Settings!$C$8:$C$12,6-$T39))</f>
        <v>0</v>
      </c>
      <c r="AB39" s="37" t="str">
        <f aca="false">IF($B39="","",IF($Y39="",0,$Y39)+IF($Z39="",0,$Z39)+IF($AA39="",0,$AA39))</f>
        <v/>
      </c>
      <c r="AC39" s="35"/>
      <c r="AD39" s="33"/>
      <c r="AE39" s="36" t="str">
        <f aca="false">IF($B39="","",IF(OR($H39="Nonconformity (process)",$S39="Yes",AND(ISNUMBER($W39),$W39&gt;=Settings!$C$20)),"YES – required","No"))</f>
        <v/>
      </c>
      <c r="AF39" s="33"/>
      <c r="AG39" s="33"/>
      <c r="AH39" s="32"/>
      <c r="AI39" s="33"/>
      <c r="AJ39" s="32"/>
      <c r="AK39" s="31" t="str">
        <f aca="false">IF(OR($B39="",$AJ39=""),"",$AJ39-$B39)</f>
        <v/>
      </c>
      <c r="AL39" s="31" t="str">
        <f aca="false">IF($X39="","",INDEX(Settings!$C$15:$C$17,MATCH($X39,Settings!$B$15:$B$17,0)))</f>
        <v/>
      </c>
      <c r="AM39" s="36" t="str">
        <f aca="true">IF($B39="","",IF($AH39="","No due date",IF($AI39="Closed",IF($AJ39="","Missing close date",IF($AJ39&lt;=$AH39,"On time","Late")),IF(TODAY()&gt;$AH39,"OVERDUE","In progress"))))</f>
        <v/>
      </c>
      <c r="AN39" s="35"/>
    </row>
    <row r="40" customFormat="false" ht="27.75" hidden="false" customHeight="true" outlineLevel="0" collapsed="false">
      <c r="A40" s="31" t="str">
        <f aca="false">IF($B40="","",ROW()-4)</f>
        <v/>
      </c>
      <c r="B40" s="32"/>
      <c r="C40" s="32"/>
      <c r="D40" s="33"/>
      <c r="E40" s="33"/>
      <c r="F40" s="33"/>
      <c r="G40" s="34"/>
      <c r="H40" s="33"/>
      <c r="I40" s="33"/>
      <c r="J40" s="33"/>
      <c r="K40" s="33"/>
      <c r="L40" s="35"/>
      <c r="M40" s="33"/>
      <c r="N40" s="33"/>
      <c r="O40" s="33"/>
      <c r="P40" s="33"/>
      <c r="Q40" s="35"/>
      <c r="R40" s="33"/>
      <c r="S40" s="33"/>
      <c r="T40" s="33"/>
      <c r="U40" s="33"/>
      <c r="V40" s="33"/>
      <c r="W40" s="31" t="str">
        <f aca="false">IF(OR($T40="",$U40="",$V40=""),"",$T40*$U40*$V40)</f>
        <v/>
      </c>
      <c r="X40" s="36" t="str">
        <f aca="false">IF($W40="","",IF($T40=5,"High",IF($W40&gt;=Settings!$C$20,"High",IF(OR($W40&gt;=Settings!$C$21,$T40=4),"Medium","Low"))))</f>
        <v/>
      </c>
      <c r="Y40" s="34"/>
      <c r="Z40" s="37" t="str">
        <f aca="false">IF($O40="","",$O40*Settings!$C$5)</f>
        <v/>
      </c>
      <c r="AA40" s="37" t="n">
        <f aca="false">IF(OR($H40&lt;&gt;"Complaint",$P40&lt;&gt;"Upheld",$T40=""),0,IF($G40="",Settings!$C$6,$G40)*INDEX(Settings!$C$8:$C$12,6-$T40))</f>
        <v>0</v>
      </c>
      <c r="AB40" s="37" t="str">
        <f aca="false">IF($B40="","",IF($Y40="",0,$Y40)+IF($Z40="",0,$Z40)+IF($AA40="",0,$AA40))</f>
        <v/>
      </c>
      <c r="AC40" s="35"/>
      <c r="AD40" s="33"/>
      <c r="AE40" s="36" t="str">
        <f aca="false">IF($B40="","",IF(OR($H40="Nonconformity (process)",$S40="Yes",AND(ISNUMBER($W40),$W40&gt;=Settings!$C$20)),"YES – required","No"))</f>
        <v/>
      </c>
      <c r="AF40" s="33"/>
      <c r="AG40" s="33"/>
      <c r="AH40" s="32"/>
      <c r="AI40" s="33"/>
      <c r="AJ40" s="32"/>
      <c r="AK40" s="31" t="str">
        <f aca="false">IF(OR($B40="",$AJ40=""),"",$AJ40-$B40)</f>
        <v/>
      </c>
      <c r="AL40" s="31" t="str">
        <f aca="false">IF($X40="","",INDEX(Settings!$C$15:$C$17,MATCH($X40,Settings!$B$15:$B$17,0)))</f>
        <v/>
      </c>
      <c r="AM40" s="36" t="str">
        <f aca="true">IF($B40="","",IF($AH40="","No due date",IF($AI40="Closed",IF($AJ40="","Missing close date",IF($AJ40&lt;=$AH40,"On time","Late")),IF(TODAY()&gt;$AH40,"OVERDUE","In progress"))))</f>
        <v/>
      </c>
      <c r="AN40" s="35"/>
    </row>
    <row r="41" customFormat="false" ht="27.75" hidden="false" customHeight="true" outlineLevel="0" collapsed="false">
      <c r="A41" s="31" t="str">
        <f aca="false">IF($B41="","",ROW()-4)</f>
        <v/>
      </c>
      <c r="B41" s="32"/>
      <c r="C41" s="32"/>
      <c r="D41" s="33"/>
      <c r="E41" s="33"/>
      <c r="F41" s="33"/>
      <c r="G41" s="34"/>
      <c r="H41" s="33"/>
      <c r="I41" s="33"/>
      <c r="J41" s="33"/>
      <c r="K41" s="33"/>
      <c r="L41" s="35"/>
      <c r="M41" s="33"/>
      <c r="N41" s="33"/>
      <c r="O41" s="33"/>
      <c r="P41" s="33"/>
      <c r="Q41" s="35"/>
      <c r="R41" s="33"/>
      <c r="S41" s="33"/>
      <c r="T41" s="33"/>
      <c r="U41" s="33"/>
      <c r="V41" s="33"/>
      <c r="W41" s="31" t="str">
        <f aca="false">IF(OR($T41="",$U41="",$V41=""),"",$T41*$U41*$V41)</f>
        <v/>
      </c>
      <c r="X41" s="36" t="str">
        <f aca="false">IF($W41="","",IF($T41=5,"High",IF($W41&gt;=Settings!$C$20,"High",IF(OR($W41&gt;=Settings!$C$21,$T41=4),"Medium","Low"))))</f>
        <v/>
      </c>
      <c r="Y41" s="34"/>
      <c r="Z41" s="37" t="str">
        <f aca="false">IF($O41="","",$O41*Settings!$C$5)</f>
        <v/>
      </c>
      <c r="AA41" s="37" t="n">
        <f aca="false">IF(OR($H41&lt;&gt;"Complaint",$P41&lt;&gt;"Upheld",$T41=""),0,IF($G41="",Settings!$C$6,$G41)*INDEX(Settings!$C$8:$C$12,6-$T41))</f>
        <v>0</v>
      </c>
      <c r="AB41" s="37" t="str">
        <f aca="false">IF($B41="","",IF($Y41="",0,$Y41)+IF($Z41="",0,$Z41)+IF($AA41="",0,$AA41))</f>
        <v/>
      </c>
      <c r="AC41" s="35"/>
      <c r="AD41" s="33"/>
      <c r="AE41" s="36" t="str">
        <f aca="false">IF($B41="","",IF(OR($H41="Nonconformity (process)",$S41="Yes",AND(ISNUMBER($W41),$W41&gt;=Settings!$C$20)),"YES – required","No"))</f>
        <v/>
      </c>
      <c r="AF41" s="33"/>
      <c r="AG41" s="33"/>
      <c r="AH41" s="32"/>
      <c r="AI41" s="33"/>
      <c r="AJ41" s="32"/>
      <c r="AK41" s="31" t="str">
        <f aca="false">IF(OR($B41="",$AJ41=""),"",$AJ41-$B41)</f>
        <v/>
      </c>
      <c r="AL41" s="31" t="str">
        <f aca="false">IF($X41="","",INDEX(Settings!$C$15:$C$17,MATCH($X41,Settings!$B$15:$B$17,0)))</f>
        <v/>
      </c>
      <c r="AM41" s="36" t="str">
        <f aca="true">IF($B41="","",IF($AH41="","No due date",IF($AI41="Closed",IF($AJ41="","Missing close date",IF($AJ41&lt;=$AH41,"On time","Late")),IF(TODAY()&gt;$AH41,"OVERDUE","In progress"))))</f>
        <v/>
      </c>
      <c r="AN41" s="35"/>
    </row>
    <row r="42" customFormat="false" ht="27.75" hidden="false" customHeight="true" outlineLevel="0" collapsed="false">
      <c r="A42" s="31" t="str">
        <f aca="false">IF($B42="","",ROW()-4)</f>
        <v/>
      </c>
      <c r="B42" s="32"/>
      <c r="C42" s="32"/>
      <c r="D42" s="33"/>
      <c r="E42" s="33"/>
      <c r="F42" s="33"/>
      <c r="G42" s="34"/>
      <c r="H42" s="33"/>
      <c r="I42" s="33"/>
      <c r="J42" s="33"/>
      <c r="K42" s="33"/>
      <c r="L42" s="35"/>
      <c r="M42" s="33"/>
      <c r="N42" s="33"/>
      <c r="O42" s="33"/>
      <c r="P42" s="33"/>
      <c r="Q42" s="35"/>
      <c r="R42" s="33"/>
      <c r="S42" s="33"/>
      <c r="T42" s="33"/>
      <c r="U42" s="33"/>
      <c r="V42" s="33"/>
      <c r="W42" s="31" t="str">
        <f aca="false">IF(OR($T42="",$U42="",$V42=""),"",$T42*$U42*$V42)</f>
        <v/>
      </c>
      <c r="X42" s="36" t="str">
        <f aca="false">IF($W42="","",IF($T42=5,"High",IF($W42&gt;=Settings!$C$20,"High",IF(OR($W42&gt;=Settings!$C$21,$T42=4),"Medium","Low"))))</f>
        <v/>
      </c>
      <c r="Y42" s="34"/>
      <c r="Z42" s="37" t="str">
        <f aca="false">IF($O42="","",$O42*Settings!$C$5)</f>
        <v/>
      </c>
      <c r="AA42" s="37" t="n">
        <f aca="false">IF(OR($H42&lt;&gt;"Complaint",$P42&lt;&gt;"Upheld",$T42=""),0,IF($G42="",Settings!$C$6,$G42)*INDEX(Settings!$C$8:$C$12,6-$T42))</f>
        <v>0</v>
      </c>
      <c r="AB42" s="37" t="str">
        <f aca="false">IF($B42="","",IF($Y42="",0,$Y42)+IF($Z42="",0,$Z42)+IF($AA42="",0,$AA42))</f>
        <v/>
      </c>
      <c r="AC42" s="35"/>
      <c r="AD42" s="33"/>
      <c r="AE42" s="36" t="str">
        <f aca="false">IF($B42="","",IF(OR($H42="Nonconformity (process)",$S42="Yes",AND(ISNUMBER($W42),$W42&gt;=Settings!$C$20)),"YES – required","No"))</f>
        <v/>
      </c>
      <c r="AF42" s="33"/>
      <c r="AG42" s="33"/>
      <c r="AH42" s="32"/>
      <c r="AI42" s="33"/>
      <c r="AJ42" s="32"/>
      <c r="AK42" s="31" t="str">
        <f aca="false">IF(OR($B42="",$AJ42=""),"",$AJ42-$B42)</f>
        <v/>
      </c>
      <c r="AL42" s="31" t="str">
        <f aca="false">IF($X42="","",INDEX(Settings!$C$15:$C$17,MATCH($X42,Settings!$B$15:$B$17,0)))</f>
        <v/>
      </c>
      <c r="AM42" s="36" t="str">
        <f aca="true">IF($B42="","",IF($AH42="","No due date",IF($AI42="Closed",IF($AJ42="","Missing close date",IF($AJ42&lt;=$AH42,"On time","Late")),IF(TODAY()&gt;$AH42,"OVERDUE","In progress"))))</f>
        <v/>
      </c>
      <c r="AN42" s="35"/>
    </row>
    <row r="43" customFormat="false" ht="27.75" hidden="false" customHeight="true" outlineLevel="0" collapsed="false">
      <c r="A43" s="31" t="str">
        <f aca="false">IF($B43="","",ROW()-4)</f>
        <v/>
      </c>
      <c r="B43" s="32"/>
      <c r="C43" s="32"/>
      <c r="D43" s="33"/>
      <c r="E43" s="33"/>
      <c r="F43" s="33"/>
      <c r="G43" s="34"/>
      <c r="H43" s="33"/>
      <c r="I43" s="33"/>
      <c r="J43" s="33"/>
      <c r="K43" s="33"/>
      <c r="L43" s="35"/>
      <c r="M43" s="33"/>
      <c r="N43" s="33"/>
      <c r="O43" s="33"/>
      <c r="P43" s="33"/>
      <c r="Q43" s="35"/>
      <c r="R43" s="33"/>
      <c r="S43" s="33"/>
      <c r="T43" s="33"/>
      <c r="U43" s="33"/>
      <c r="V43" s="33"/>
      <c r="W43" s="31" t="str">
        <f aca="false">IF(OR($T43="",$U43="",$V43=""),"",$T43*$U43*$V43)</f>
        <v/>
      </c>
      <c r="X43" s="36" t="str">
        <f aca="false">IF($W43="","",IF($T43=5,"High",IF($W43&gt;=Settings!$C$20,"High",IF(OR($W43&gt;=Settings!$C$21,$T43=4),"Medium","Low"))))</f>
        <v/>
      </c>
      <c r="Y43" s="34"/>
      <c r="Z43" s="37" t="str">
        <f aca="false">IF($O43="","",$O43*Settings!$C$5)</f>
        <v/>
      </c>
      <c r="AA43" s="37" t="n">
        <f aca="false">IF(OR($H43&lt;&gt;"Complaint",$P43&lt;&gt;"Upheld",$T43=""),0,IF($G43="",Settings!$C$6,$G43)*INDEX(Settings!$C$8:$C$12,6-$T43))</f>
        <v>0</v>
      </c>
      <c r="AB43" s="37" t="str">
        <f aca="false">IF($B43="","",IF($Y43="",0,$Y43)+IF($Z43="",0,$Z43)+IF($AA43="",0,$AA43))</f>
        <v/>
      </c>
      <c r="AC43" s="35"/>
      <c r="AD43" s="33"/>
      <c r="AE43" s="36" t="str">
        <f aca="false">IF($B43="","",IF(OR($H43="Nonconformity (process)",$S43="Yes",AND(ISNUMBER($W43),$W43&gt;=Settings!$C$20)),"YES – required","No"))</f>
        <v/>
      </c>
      <c r="AF43" s="33"/>
      <c r="AG43" s="33"/>
      <c r="AH43" s="32"/>
      <c r="AI43" s="33"/>
      <c r="AJ43" s="32"/>
      <c r="AK43" s="31" t="str">
        <f aca="false">IF(OR($B43="",$AJ43=""),"",$AJ43-$B43)</f>
        <v/>
      </c>
      <c r="AL43" s="31" t="str">
        <f aca="false">IF($X43="","",INDEX(Settings!$C$15:$C$17,MATCH($X43,Settings!$B$15:$B$17,0)))</f>
        <v/>
      </c>
      <c r="AM43" s="36" t="str">
        <f aca="true">IF($B43="","",IF($AH43="","No due date",IF($AI43="Closed",IF($AJ43="","Missing close date",IF($AJ43&lt;=$AH43,"On time","Late")),IF(TODAY()&gt;$AH43,"OVERDUE","In progress"))))</f>
        <v/>
      </c>
      <c r="AN43" s="35"/>
    </row>
    <row r="44" customFormat="false" ht="27.75" hidden="false" customHeight="true" outlineLevel="0" collapsed="false">
      <c r="A44" s="31" t="str">
        <f aca="false">IF($B44="","",ROW()-4)</f>
        <v/>
      </c>
      <c r="B44" s="32"/>
      <c r="C44" s="32"/>
      <c r="D44" s="33"/>
      <c r="E44" s="33"/>
      <c r="F44" s="33"/>
      <c r="G44" s="34"/>
      <c r="H44" s="33"/>
      <c r="I44" s="33"/>
      <c r="J44" s="33"/>
      <c r="K44" s="33"/>
      <c r="L44" s="35"/>
      <c r="M44" s="33"/>
      <c r="N44" s="33"/>
      <c r="O44" s="33"/>
      <c r="P44" s="33"/>
      <c r="Q44" s="35"/>
      <c r="R44" s="33"/>
      <c r="S44" s="33"/>
      <c r="T44" s="33"/>
      <c r="U44" s="33"/>
      <c r="V44" s="33"/>
      <c r="W44" s="31" t="str">
        <f aca="false">IF(OR($T44="",$U44="",$V44=""),"",$T44*$U44*$V44)</f>
        <v/>
      </c>
      <c r="X44" s="36" t="str">
        <f aca="false">IF($W44="","",IF($T44=5,"High",IF($W44&gt;=Settings!$C$20,"High",IF(OR($W44&gt;=Settings!$C$21,$T44=4),"Medium","Low"))))</f>
        <v/>
      </c>
      <c r="Y44" s="34"/>
      <c r="Z44" s="37" t="str">
        <f aca="false">IF($O44="","",$O44*Settings!$C$5)</f>
        <v/>
      </c>
      <c r="AA44" s="37" t="n">
        <f aca="false">IF(OR($H44&lt;&gt;"Complaint",$P44&lt;&gt;"Upheld",$T44=""),0,IF($G44="",Settings!$C$6,$G44)*INDEX(Settings!$C$8:$C$12,6-$T44))</f>
        <v>0</v>
      </c>
      <c r="AB44" s="37" t="str">
        <f aca="false">IF($B44="","",IF($Y44="",0,$Y44)+IF($Z44="",0,$Z44)+IF($AA44="",0,$AA44))</f>
        <v/>
      </c>
      <c r="AC44" s="35"/>
      <c r="AD44" s="33"/>
      <c r="AE44" s="36" t="str">
        <f aca="false">IF($B44="","",IF(OR($H44="Nonconformity (process)",$S44="Yes",AND(ISNUMBER($W44),$W44&gt;=Settings!$C$20)),"YES – required","No"))</f>
        <v/>
      </c>
      <c r="AF44" s="33"/>
      <c r="AG44" s="33"/>
      <c r="AH44" s="32"/>
      <c r="AI44" s="33"/>
      <c r="AJ44" s="32"/>
      <c r="AK44" s="31" t="str">
        <f aca="false">IF(OR($B44="",$AJ44=""),"",$AJ44-$B44)</f>
        <v/>
      </c>
      <c r="AL44" s="31" t="str">
        <f aca="false">IF($X44="","",INDEX(Settings!$C$15:$C$17,MATCH($X44,Settings!$B$15:$B$17,0)))</f>
        <v/>
      </c>
      <c r="AM44" s="36" t="str">
        <f aca="true">IF($B44="","",IF($AH44="","No due date",IF($AI44="Closed",IF($AJ44="","Missing close date",IF($AJ44&lt;=$AH44,"On time","Late")),IF(TODAY()&gt;$AH44,"OVERDUE","In progress"))))</f>
        <v/>
      </c>
      <c r="AN44" s="35"/>
    </row>
    <row r="45" customFormat="false" ht="27.75" hidden="false" customHeight="true" outlineLevel="0" collapsed="false">
      <c r="A45" s="31" t="str">
        <f aca="false">IF($B45="","",ROW()-4)</f>
        <v/>
      </c>
      <c r="B45" s="32"/>
      <c r="C45" s="32"/>
      <c r="D45" s="33"/>
      <c r="E45" s="33"/>
      <c r="F45" s="33"/>
      <c r="G45" s="34"/>
      <c r="H45" s="33"/>
      <c r="I45" s="33"/>
      <c r="J45" s="33"/>
      <c r="K45" s="33"/>
      <c r="L45" s="35"/>
      <c r="M45" s="33"/>
      <c r="N45" s="33"/>
      <c r="O45" s="33"/>
      <c r="P45" s="33"/>
      <c r="Q45" s="35"/>
      <c r="R45" s="33"/>
      <c r="S45" s="33"/>
      <c r="T45" s="33"/>
      <c r="U45" s="33"/>
      <c r="V45" s="33"/>
      <c r="W45" s="31" t="str">
        <f aca="false">IF(OR($T45="",$U45="",$V45=""),"",$T45*$U45*$V45)</f>
        <v/>
      </c>
      <c r="X45" s="36" t="str">
        <f aca="false">IF($W45="","",IF($T45=5,"High",IF($W45&gt;=Settings!$C$20,"High",IF(OR($W45&gt;=Settings!$C$21,$T45=4),"Medium","Low"))))</f>
        <v/>
      </c>
      <c r="Y45" s="34"/>
      <c r="Z45" s="37" t="str">
        <f aca="false">IF($O45="","",$O45*Settings!$C$5)</f>
        <v/>
      </c>
      <c r="AA45" s="37" t="n">
        <f aca="false">IF(OR($H45&lt;&gt;"Complaint",$P45&lt;&gt;"Upheld",$T45=""),0,IF($G45="",Settings!$C$6,$G45)*INDEX(Settings!$C$8:$C$12,6-$T45))</f>
        <v>0</v>
      </c>
      <c r="AB45" s="37" t="str">
        <f aca="false">IF($B45="","",IF($Y45="",0,$Y45)+IF($Z45="",0,$Z45)+IF($AA45="",0,$AA45))</f>
        <v/>
      </c>
      <c r="AC45" s="35"/>
      <c r="AD45" s="33"/>
      <c r="AE45" s="36" t="str">
        <f aca="false">IF($B45="","",IF(OR($H45="Nonconformity (process)",$S45="Yes",AND(ISNUMBER($W45),$W45&gt;=Settings!$C$20)),"YES – required","No"))</f>
        <v/>
      </c>
      <c r="AF45" s="33"/>
      <c r="AG45" s="33"/>
      <c r="AH45" s="32"/>
      <c r="AI45" s="33"/>
      <c r="AJ45" s="32"/>
      <c r="AK45" s="31" t="str">
        <f aca="false">IF(OR($B45="",$AJ45=""),"",$AJ45-$B45)</f>
        <v/>
      </c>
      <c r="AL45" s="31" t="str">
        <f aca="false">IF($X45="","",INDEX(Settings!$C$15:$C$17,MATCH($X45,Settings!$B$15:$B$17,0)))</f>
        <v/>
      </c>
      <c r="AM45" s="36" t="str">
        <f aca="true">IF($B45="","",IF($AH45="","No due date",IF($AI45="Closed",IF($AJ45="","Missing close date",IF($AJ45&lt;=$AH45,"On time","Late")),IF(TODAY()&gt;$AH45,"OVERDUE","In progress"))))</f>
        <v/>
      </c>
      <c r="AN45" s="35"/>
    </row>
    <row r="46" customFormat="false" ht="27.75" hidden="false" customHeight="true" outlineLevel="0" collapsed="false">
      <c r="A46" s="31" t="str">
        <f aca="false">IF($B46="","",ROW()-4)</f>
        <v/>
      </c>
      <c r="B46" s="32"/>
      <c r="C46" s="32"/>
      <c r="D46" s="33"/>
      <c r="E46" s="33"/>
      <c r="F46" s="33"/>
      <c r="G46" s="34"/>
      <c r="H46" s="33"/>
      <c r="I46" s="33"/>
      <c r="J46" s="33"/>
      <c r="K46" s="33"/>
      <c r="L46" s="35"/>
      <c r="M46" s="33"/>
      <c r="N46" s="33"/>
      <c r="O46" s="33"/>
      <c r="P46" s="33"/>
      <c r="Q46" s="35"/>
      <c r="R46" s="33"/>
      <c r="S46" s="33"/>
      <c r="T46" s="33"/>
      <c r="U46" s="33"/>
      <c r="V46" s="33"/>
      <c r="W46" s="31" t="str">
        <f aca="false">IF(OR($T46="",$U46="",$V46=""),"",$T46*$U46*$V46)</f>
        <v/>
      </c>
      <c r="X46" s="36" t="str">
        <f aca="false">IF($W46="","",IF($T46=5,"High",IF($W46&gt;=Settings!$C$20,"High",IF(OR($W46&gt;=Settings!$C$21,$T46=4),"Medium","Low"))))</f>
        <v/>
      </c>
      <c r="Y46" s="34"/>
      <c r="Z46" s="37" t="str">
        <f aca="false">IF($O46="","",$O46*Settings!$C$5)</f>
        <v/>
      </c>
      <c r="AA46" s="37" t="n">
        <f aca="false">IF(OR($H46&lt;&gt;"Complaint",$P46&lt;&gt;"Upheld",$T46=""),0,IF($G46="",Settings!$C$6,$G46)*INDEX(Settings!$C$8:$C$12,6-$T46))</f>
        <v>0</v>
      </c>
      <c r="AB46" s="37" t="str">
        <f aca="false">IF($B46="","",IF($Y46="",0,$Y46)+IF($Z46="",0,$Z46)+IF($AA46="",0,$AA46))</f>
        <v/>
      </c>
      <c r="AC46" s="35"/>
      <c r="AD46" s="33"/>
      <c r="AE46" s="36" t="str">
        <f aca="false">IF($B46="","",IF(OR($H46="Nonconformity (process)",$S46="Yes",AND(ISNUMBER($W46),$W46&gt;=Settings!$C$20)),"YES – required","No"))</f>
        <v/>
      </c>
      <c r="AF46" s="33"/>
      <c r="AG46" s="33"/>
      <c r="AH46" s="32"/>
      <c r="AI46" s="33"/>
      <c r="AJ46" s="32"/>
      <c r="AK46" s="31" t="str">
        <f aca="false">IF(OR($B46="",$AJ46=""),"",$AJ46-$B46)</f>
        <v/>
      </c>
      <c r="AL46" s="31" t="str">
        <f aca="false">IF($X46="","",INDEX(Settings!$C$15:$C$17,MATCH($X46,Settings!$B$15:$B$17,0)))</f>
        <v/>
      </c>
      <c r="AM46" s="36" t="str">
        <f aca="true">IF($B46="","",IF($AH46="","No due date",IF($AI46="Closed",IF($AJ46="","Missing close date",IF($AJ46&lt;=$AH46,"On time","Late")),IF(TODAY()&gt;$AH46,"OVERDUE","In progress"))))</f>
        <v/>
      </c>
      <c r="AN46" s="35"/>
    </row>
    <row r="47" customFormat="false" ht="27.75" hidden="false" customHeight="true" outlineLevel="0" collapsed="false">
      <c r="A47" s="31" t="str">
        <f aca="false">IF($B47="","",ROW()-4)</f>
        <v/>
      </c>
      <c r="B47" s="32"/>
      <c r="C47" s="32"/>
      <c r="D47" s="33"/>
      <c r="E47" s="33"/>
      <c r="F47" s="33"/>
      <c r="G47" s="34"/>
      <c r="H47" s="33"/>
      <c r="I47" s="33"/>
      <c r="J47" s="33"/>
      <c r="K47" s="33"/>
      <c r="L47" s="35"/>
      <c r="M47" s="33"/>
      <c r="N47" s="33"/>
      <c r="O47" s="33"/>
      <c r="P47" s="33"/>
      <c r="Q47" s="35"/>
      <c r="R47" s="33"/>
      <c r="S47" s="33"/>
      <c r="T47" s="33"/>
      <c r="U47" s="33"/>
      <c r="V47" s="33"/>
      <c r="W47" s="31" t="str">
        <f aca="false">IF(OR($T47="",$U47="",$V47=""),"",$T47*$U47*$V47)</f>
        <v/>
      </c>
      <c r="X47" s="36" t="str">
        <f aca="false">IF($W47="","",IF($T47=5,"High",IF($W47&gt;=Settings!$C$20,"High",IF(OR($W47&gt;=Settings!$C$21,$T47=4),"Medium","Low"))))</f>
        <v/>
      </c>
      <c r="Y47" s="34"/>
      <c r="Z47" s="37" t="str">
        <f aca="false">IF($O47="","",$O47*Settings!$C$5)</f>
        <v/>
      </c>
      <c r="AA47" s="37" t="n">
        <f aca="false">IF(OR($H47&lt;&gt;"Complaint",$P47&lt;&gt;"Upheld",$T47=""),0,IF($G47="",Settings!$C$6,$G47)*INDEX(Settings!$C$8:$C$12,6-$T47))</f>
        <v>0</v>
      </c>
      <c r="AB47" s="37" t="str">
        <f aca="false">IF($B47="","",IF($Y47="",0,$Y47)+IF($Z47="",0,$Z47)+IF($AA47="",0,$AA47))</f>
        <v/>
      </c>
      <c r="AC47" s="35"/>
      <c r="AD47" s="33"/>
      <c r="AE47" s="36" t="str">
        <f aca="false">IF($B47="","",IF(OR($H47="Nonconformity (process)",$S47="Yes",AND(ISNUMBER($W47),$W47&gt;=Settings!$C$20)),"YES – required","No"))</f>
        <v/>
      </c>
      <c r="AF47" s="33"/>
      <c r="AG47" s="33"/>
      <c r="AH47" s="32"/>
      <c r="AI47" s="33"/>
      <c r="AJ47" s="32"/>
      <c r="AK47" s="31" t="str">
        <f aca="false">IF(OR($B47="",$AJ47=""),"",$AJ47-$B47)</f>
        <v/>
      </c>
      <c r="AL47" s="31" t="str">
        <f aca="false">IF($X47="","",INDEX(Settings!$C$15:$C$17,MATCH($X47,Settings!$B$15:$B$17,0)))</f>
        <v/>
      </c>
      <c r="AM47" s="36" t="str">
        <f aca="true">IF($B47="","",IF($AH47="","No due date",IF($AI47="Closed",IF($AJ47="","Missing close date",IF($AJ47&lt;=$AH47,"On time","Late")),IF(TODAY()&gt;$AH47,"OVERDUE","In progress"))))</f>
        <v/>
      </c>
      <c r="AN47" s="35"/>
    </row>
    <row r="48" customFormat="false" ht="27.75" hidden="false" customHeight="true" outlineLevel="0" collapsed="false">
      <c r="A48" s="31" t="str">
        <f aca="false">IF($B48="","",ROW()-4)</f>
        <v/>
      </c>
      <c r="B48" s="32"/>
      <c r="C48" s="32"/>
      <c r="D48" s="33"/>
      <c r="E48" s="33"/>
      <c r="F48" s="33"/>
      <c r="G48" s="34"/>
      <c r="H48" s="33"/>
      <c r="I48" s="33"/>
      <c r="J48" s="33"/>
      <c r="K48" s="33"/>
      <c r="L48" s="35"/>
      <c r="M48" s="33"/>
      <c r="N48" s="33"/>
      <c r="O48" s="33"/>
      <c r="P48" s="33"/>
      <c r="Q48" s="35"/>
      <c r="R48" s="33"/>
      <c r="S48" s="33"/>
      <c r="T48" s="33"/>
      <c r="U48" s="33"/>
      <c r="V48" s="33"/>
      <c r="W48" s="31" t="str">
        <f aca="false">IF(OR($T48="",$U48="",$V48=""),"",$T48*$U48*$V48)</f>
        <v/>
      </c>
      <c r="X48" s="36" t="str">
        <f aca="false">IF($W48="","",IF($T48=5,"High",IF($W48&gt;=Settings!$C$20,"High",IF(OR($W48&gt;=Settings!$C$21,$T48=4),"Medium","Low"))))</f>
        <v/>
      </c>
      <c r="Y48" s="34"/>
      <c r="Z48" s="37" t="str">
        <f aca="false">IF($O48="","",$O48*Settings!$C$5)</f>
        <v/>
      </c>
      <c r="AA48" s="37" t="n">
        <f aca="false">IF(OR($H48&lt;&gt;"Complaint",$P48&lt;&gt;"Upheld",$T48=""),0,IF($G48="",Settings!$C$6,$G48)*INDEX(Settings!$C$8:$C$12,6-$T48))</f>
        <v>0</v>
      </c>
      <c r="AB48" s="37" t="str">
        <f aca="false">IF($B48="","",IF($Y48="",0,$Y48)+IF($Z48="",0,$Z48)+IF($AA48="",0,$AA48))</f>
        <v/>
      </c>
      <c r="AC48" s="35"/>
      <c r="AD48" s="33"/>
      <c r="AE48" s="36" t="str">
        <f aca="false">IF($B48="","",IF(OR($H48="Nonconformity (process)",$S48="Yes",AND(ISNUMBER($W48),$W48&gt;=Settings!$C$20)),"YES – required","No"))</f>
        <v/>
      </c>
      <c r="AF48" s="33"/>
      <c r="AG48" s="33"/>
      <c r="AH48" s="32"/>
      <c r="AI48" s="33"/>
      <c r="AJ48" s="32"/>
      <c r="AK48" s="31" t="str">
        <f aca="false">IF(OR($B48="",$AJ48=""),"",$AJ48-$B48)</f>
        <v/>
      </c>
      <c r="AL48" s="31" t="str">
        <f aca="false">IF($X48="","",INDEX(Settings!$C$15:$C$17,MATCH($X48,Settings!$B$15:$B$17,0)))</f>
        <v/>
      </c>
      <c r="AM48" s="36" t="str">
        <f aca="true">IF($B48="","",IF($AH48="","No due date",IF($AI48="Closed",IF($AJ48="","Missing close date",IF($AJ48&lt;=$AH48,"On time","Late")),IF(TODAY()&gt;$AH48,"OVERDUE","In progress"))))</f>
        <v/>
      </c>
      <c r="AN48" s="35"/>
    </row>
    <row r="49" customFormat="false" ht="27.75" hidden="false" customHeight="true" outlineLevel="0" collapsed="false">
      <c r="A49" s="31" t="str">
        <f aca="false">IF($B49="","",ROW()-4)</f>
        <v/>
      </c>
      <c r="B49" s="32"/>
      <c r="C49" s="32"/>
      <c r="D49" s="33"/>
      <c r="E49" s="33"/>
      <c r="F49" s="33"/>
      <c r="G49" s="34"/>
      <c r="H49" s="33"/>
      <c r="I49" s="33"/>
      <c r="J49" s="33"/>
      <c r="K49" s="33"/>
      <c r="L49" s="35"/>
      <c r="M49" s="33"/>
      <c r="N49" s="33"/>
      <c r="O49" s="33"/>
      <c r="P49" s="33"/>
      <c r="Q49" s="35"/>
      <c r="R49" s="33"/>
      <c r="S49" s="33"/>
      <c r="T49" s="33"/>
      <c r="U49" s="33"/>
      <c r="V49" s="33"/>
      <c r="W49" s="31" t="str">
        <f aca="false">IF(OR($T49="",$U49="",$V49=""),"",$T49*$U49*$V49)</f>
        <v/>
      </c>
      <c r="X49" s="36" t="str">
        <f aca="false">IF($W49="","",IF($T49=5,"High",IF($W49&gt;=Settings!$C$20,"High",IF(OR($W49&gt;=Settings!$C$21,$T49=4),"Medium","Low"))))</f>
        <v/>
      </c>
      <c r="Y49" s="34"/>
      <c r="Z49" s="37" t="str">
        <f aca="false">IF($O49="","",$O49*Settings!$C$5)</f>
        <v/>
      </c>
      <c r="AA49" s="37" t="n">
        <f aca="false">IF(OR($H49&lt;&gt;"Complaint",$P49&lt;&gt;"Upheld",$T49=""),0,IF($G49="",Settings!$C$6,$G49)*INDEX(Settings!$C$8:$C$12,6-$T49))</f>
        <v>0</v>
      </c>
      <c r="AB49" s="37" t="str">
        <f aca="false">IF($B49="","",IF($Y49="",0,$Y49)+IF($Z49="",0,$Z49)+IF($AA49="",0,$AA49))</f>
        <v/>
      </c>
      <c r="AC49" s="35"/>
      <c r="AD49" s="33"/>
      <c r="AE49" s="36" t="str">
        <f aca="false">IF($B49="","",IF(OR($H49="Nonconformity (process)",$S49="Yes",AND(ISNUMBER($W49),$W49&gt;=Settings!$C$20)),"YES – required","No"))</f>
        <v/>
      </c>
      <c r="AF49" s="33"/>
      <c r="AG49" s="33"/>
      <c r="AH49" s="32"/>
      <c r="AI49" s="33"/>
      <c r="AJ49" s="32"/>
      <c r="AK49" s="31" t="str">
        <f aca="false">IF(OR($B49="",$AJ49=""),"",$AJ49-$B49)</f>
        <v/>
      </c>
      <c r="AL49" s="31" t="str">
        <f aca="false">IF($X49="","",INDEX(Settings!$C$15:$C$17,MATCH($X49,Settings!$B$15:$B$17,0)))</f>
        <v/>
      </c>
      <c r="AM49" s="36" t="str">
        <f aca="true">IF($B49="","",IF($AH49="","No due date",IF($AI49="Closed",IF($AJ49="","Missing close date",IF($AJ49&lt;=$AH49,"On time","Late")),IF(TODAY()&gt;$AH49,"OVERDUE","In progress"))))</f>
        <v/>
      </c>
      <c r="AN49" s="35"/>
    </row>
    <row r="50" customFormat="false" ht="27.75" hidden="false" customHeight="true" outlineLevel="0" collapsed="false">
      <c r="A50" s="31" t="str">
        <f aca="false">IF($B50="","",ROW()-4)</f>
        <v/>
      </c>
      <c r="B50" s="32"/>
      <c r="C50" s="32"/>
      <c r="D50" s="33"/>
      <c r="E50" s="33"/>
      <c r="F50" s="33"/>
      <c r="G50" s="34"/>
      <c r="H50" s="33"/>
      <c r="I50" s="33"/>
      <c r="J50" s="33"/>
      <c r="K50" s="33"/>
      <c r="L50" s="35"/>
      <c r="M50" s="33"/>
      <c r="N50" s="33"/>
      <c r="O50" s="33"/>
      <c r="P50" s="33"/>
      <c r="Q50" s="35"/>
      <c r="R50" s="33"/>
      <c r="S50" s="33"/>
      <c r="T50" s="33"/>
      <c r="U50" s="33"/>
      <c r="V50" s="33"/>
      <c r="W50" s="31" t="str">
        <f aca="false">IF(OR($T50="",$U50="",$V50=""),"",$T50*$U50*$V50)</f>
        <v/>
      </c>
      <c r="X50" s="36" t="str">
        <f aca="false">IF($W50="","",IF($T50=5,"High",IF($W50&gt;=Settings!$C$20,"High",IF(OR($W50&gt;=Settings!$C$21,$T50=4),"Medium","Low"))))</f>
        <v/>
      </c>
      <c r="Y50" s="34"/>
      <c r="Z50" s="37" t="str">
        <f aca="false">IF($O50="","",$O50*Settings!$C$5)</f>
        <v/>
      </c>
      <c r="AA50" s="37" t="n">
        <f aca="false">IF(OR($H50&lt;&gt;"Complaint",$P50&lt;&gt;"Upheld",$T50=""),0,IF($G50="",Settings!$C$6,$G50)*INDEX(Settings!$C$8:$C$12,6-$T50))</f>
        <v>0</v>
      </c>
      <c r="AB50" s="37" t="str">
        <f aca="false">IF($B50="","",IF($Y50="",0,$Y50)+IF($Z50="",0,$Z50)+IF($AA50="",0,$AA50))</f>
        <v/>
      </c>
      <c r="AC50" s="35"/>
      <c r="AD50" s="33"/>
      <c r="AE50" s="36" t="str">
        <f aca="false">IF($B50="","",IF(OR($H50="Nonconformity (process)",$S50="Yes",AND(ISNUMBER($W50),$W50&gt;=Settings!$C$20)),"YES – required","No"))</f>
        <v/>
      </c>
      <c r="AF50" s="33"/>
      <c r="AG50" s="33"/>
      <c r="AH50" s="32"/>
      <c r="AI50" s="33"/>
      <c r="AJ50" s="32"/>
      <c r="AK50" s="31" t="str">
        <f aca="false">IF(OR($B50="",$AJ50=""),"",$AJ50-$B50)</f>
        <v/>
      </c>
      <c r="AL50" s="31" t="str">
        <f aca="false">IF($X50="","",INDEX(Settings!$C$15:$C$17,MATCH($X50,Settings!$B$15:$B$17,0)))</f>
        <v/>
      </c>
      <c r="AM50" s="36" t="str">
        <f aca="true">IF($B50="","",IF($AH50="","No due date",IF($AI50="Closed",IF($AJ50="","Missing close date",IF($AJ50&lt;=$AH50,"On time","Late")),IF(TODAY()&gt;$AH50,"OVERDUE","In progress"))))</f>
        <v/>
      </c>
      <c r="AN50" s="35"/>
    </row>
    <row r="51" customFormat="false" ht="27.75" hidden="false" customHeight="true" outlineLevel="0" collapsed="false">
      <c r="A51" s="31" t="str">
        <f aca="false">IF($B51="","",ROW()-4)</f>
        <v/>
      </c>
      <c r="B51" s="32"/>
      <c r="C51" s="32"/>
      <c r="D51" s="33"/>
      <c r="E51" s="33"/>
      <c r="F51" s="33"/>
      <c r="G51" s="34"/>
      <c r="H51" s="33"/>
      <c r="I51" s="33"/>
      <c r="J51" s="33"/>
      <c r="K51" s="33"/>
      <c r="L51" s="35"/>
      <c r="M51" s="33"/>
      <c r="N51" s="33"/>
      <c r="O51" s="33"/>
      <c r="P51" s="33"/>
      <c r="Q51" s="35"/>
      <c r="R51" s="33"/>
      <c r="S51" s="33"/>
      <c r="T51" s="33"/>
      <c r="U51" s="33"/>
      <c r="V51" s="33"/>
      <c r="W51" s="31" t="str">
        <f aca="false">IF(OR($T51="",$U51="",$V51=""),"",$T51*$U51*$V51)</f>
        <v/>
      </c>
      <c r="X51" s="36" t="str">
        <f aca="false">IF($W51="","",IF($T51=5,"High",IF($W51&gt;=Settings!$C$20,"High",IF(OR($W51&gt;=Settings!$C$21,$T51=4),"Medium","Low"))))</f>
        <v/>
      </c>
      <c r="Y51" s="34"/>
      <c r="Z51" s="37" t="str">
        <f aca="false">IF($O51="","",$O51*Settings!$C$5)</f>
        <v/>
      </c>
      <c r="AA51" s="37" t="n">
        <f aca="false">IF(OR($H51&lt;&gt;"Complaint",$P51&lt;&gt;"Upheld",$T51=""),0,IF($G51="",Settings!$C$6,$G51)*INDEX(Settings!$C$8:$C$12,6-$T51))</f>
        <v>0</v>
      </c>
      <c r="AB51" s="37" t="str">
        <f aca="false">IF($B51="","",IF($Y51="",0,$Y51)+IF($Z51="",0,$Z51)+IF($AA51="",0,$AA51))</f>
        <v/>
      </c>
      <c r="AC51" s="35"/>
      <c r="AD51" s="33"/>
      <c r="AE51" s="36" t="str">
        <f aca="false">IF($B51="","",IF(OR($H51="Nonconformity (process)",$S51="Yes",AND(ISNUMBER($W51),$W51&gt;=Settings!$C$20)),"YES – required","No"))</f>
        <v/>
      </c>
      <c r="AF51" s="33"/>
      <c r="AG51" s="33"/>
      <c r="AH51" s="32"/>
      <c r="AI51" s="33"/>
      <c r="AJ51" s="32"/>
      <c r="AK51" s="31" t="str">
        <f aca="false">IF(OR($B51="",$AJ51=""),"",$AJ51-$B51)</f>
        <v/>
      </c>
      <c r="AL51" s="31" t="str">
        <f aca="false">IF($X51="","",INDEX(Settings!$C$15:$C$17,MATCH($X51,Settings!$B$15:$B$17,0)))</f>
        <v/>
      </c>
      <c r="AM51" s="36" t="str">
        <f aca="true">IF($B51="","",IF($AH51="","No due date",IF($AI51="Closed",IF($AJ51="","Missing close date",IF($AJ51&lt;=$AH51,"On time","Late")),IF(TODAY()&gt;$AH51,"OVERDUE","In progress"))))</f>
        <v/>
      </c>
      <c r="AN51" s="35"/>
    </row>
    <row r="52" customFormat="false" ht="27.75" hidden="false" customHeight="true" outlineLevel="0" collapsed="false">
      <c r="A52" s="31" t="str">
        <f aca="false">IF($B52="","",ROW()-4)</f>
        <v/>
      </c>
      <c r="B52" s="32"/>
      <c r="C52" s="32"/>
      <c r="D52" s="33"/>
      <c r="E52" s="33"/>
      <c r="F52" s="33"/>
      <c r="G52" s="34"/>
      <c r="H52" s="33"/>
      <c r="I52" s="33"/>
      <c r="J52" s="33"/>
      <c r="K52" s="33"/>
      <c r="L52" s="35"/>
      <c r="M52" s="33"/>
      <c r="N52" s="33"/>
      <c r="O52" s="33"/>
      <c r="P52" s="33"/>
      <c r="Q52" s="35"/>
      <c r="R52" s="33"/>
      <c r="S52" s="33"/>
      <c r="T52" s="33"/>
      <c r="U52" s="33"/>
      <c r="V52" s="33"/>
      <c r="W52" s="31" t="str">
        <f aca="false">IF(OR($T52="",$U52="",$V52=""),"",$T52*$U52*$V52)</f>
        <v/>
      </c>
      <c r="X52" s="36" t="str">
        <f aca="false">IF($W52="","",IF($T52=5,"High",IF($W52&gt;=Settings!$C$20,"High",IF(OR($W52&gt;=Settings!$C$21,$T52=4),"Medium","Low"))))</f>
        <v/>
      </c>
      <c r="Y52" s="34"/>
      <c r="Z52" s="37" t="str">
        <f aca="false">IF($O52="","",$O52*Settings!$C$5)</f>
        <v/>
      </c>
      <c r="AA52" s="37" t="n">
        <f aca="false">IF(OR($H52&lt;&gt;"Complaint",$P52&lt;&gt;"Upheld",$T52=""),0,IF($G52="",Settings!$C$6,$G52)*INDEX(Settings!$C$8:$C$12,6-$T52))</f>
        <v>0</v>
      </c>
      <c r="AB52" s="37" t="str">
        <f aca="false">IF($B52="","",IF($Y52="",0,$Y52)+IF($Z52="",0,$Z52)+IF($AA52="",0,$AA52))</f>
        <v/>
      </c>
      <c r="AC52" s="35"/>
      <c r="AD52" s="33"/>
      <c r="AE52" s="36" t="str">
        <f aca="false">IF($B52="","",IF(OR($H52="Nonconformity (process)",$S52="Yes",AND(ISNUMBER($W52),$W52&gt;=Settings!$C$20)),"YES – required","No"))</f>
        <v/>
      </c>
      <c r="AF52" s="33"/>
      <c r="AG52" s="33"/>
      <c r="AH52" s="32"/>
      <c r="AI52" s="33"/>
      <c r="AJ52" s="32"/>
      <c r="AK52" s="31" t="str">
        <f aca="false">IF(OR($B52="",$AJ52=""),"",$AJ52-$B52)</f>
        <v/>
      </c>
      <c r="AL52" s="31" t="str">
        <f aca="false">IF($X52="","",INDEX(Settings!$C$15:$C$17,MATCH($X52,Settings!$B$15:$B$17,0)))</f>
        <v/>
      </c>
      <c r="AM52" s="36" t="str">
        <f aca="true">IF($B52="","",IF($AH52="","No due date",IF($AI52="Closed",IF($AJ52="","Missing close date",IF($AJ52&lt;=$AH52,"On time","Late")),IF(TODAY()&gt;$AH52,"OVERDUE","In progress"))))</f>
        <v/>
      </c>
      <c r="AN52" s="35"/>
    </row>
    <row r="53" customFormat="false" ht="27.75" hidden="false" customHeight="true" outlineLevel="0" collapsed="false">
      <c r="A53" s="31" t="str">
        <f aca="false">IF($B53="","",ROW()-4)</f>
        <v/>
      </c>
      <c r="B53" s="32"/>
      <c r="C53" s="32"/>
      <c r="D53" s="33"/>
      <c r="E53" s="33"/>
      <c r="F53" s="33"/>
      <c r="G53" s="34"/>
      <c r="H53" s="33"/>
      <c r="I53" s="33"/>
      <c r="J53" s="33"/>
      <c r="K53" s="33"/>
      <c r="L53" s="35"/>
      <c r="M53" s="33"/>
      <c r="N53" s="33"/>
      <c r="O53" s="33"/>
      <c r="P53" s="33"/>
      <c r="Q53" s="35"/>
      <c r="R53" s="33"/>
      <c r="S53" s="33"/>
      <c r="T53" s="33"/>
      <c r="U53" s="33"/>
      <c r="V53" s="33"/>
      <c r="W53" s="31" t="str">
        <f aca="false">IF(OR($T53="",$U53="",$V53=""),"",$T53*$U53*$V53)</f>
        <v/>
      </c>
      <c r="X53" s="36" t="str">
        <f aca="false">IF($W53="","",IF($T53=5,"High",IF($W53&gt;=Settings!$C$20,"High",IF(OR($W53&gt;=Settings!$C$21,$T53=4),"Medium","Low"))))</f>
        <v/>
      </c>
      <c r="Y53" s="34"/>
      <c r="Z53" s="37" t="str">
        <f aca="false">IF($O53="","",$O53*Settings!$C$5)</f>
        <v/>
      </c>
      <c r="AA53" s="37" t="n">
        <f aca="false">IF(OR($H53&lt;&gt;"Complaint",$P53&lt;&gt;"Upheld",$T53=""),0,IF($G53="",Settings!$C$6,$G53)*INDEX(Settings!$C$8:$C$12,6-$T53))</f>
        <v>0</v>
      </c>
      <c r="AB53" s="37" t="str">
        <f aca="false">IF($B53="","",IF($Y53="",0,$Y53)+IF($Z53="",0,$Z53)+IF($AA53="",0,$AA53))</f>
        <v/>
      </c>
      <c r="AC53" s="35"/>
      <c r="AD53" s="33"/>
      <c r="AE53" s="36" t="str">
        <f aca="false">IF($B53="","",IF(OR($H53="Nonconformity (process)",$S53="Yes",AND(ISNUMBER($W53),$W53&gt;=Settings!$C$20)),"YES – required","No"))</f>
        <v/>
      </c>
      <c r="AF53" s="33"/>
      <c r="AG53" s="33"/>
      <c r="AH53" s="32"/>
      <c r="AI53" s="33"/>
      <c r="AJ53" s="32"/>
      <c r="AK53" s="31" t="str">
        <f aca="false">IF(OR($B53="",$AJ53=""),"",$AJ53-$B53)</f>
        <v/>
      </c>
      <c r="AL53" s="31" t="str">
        <f aca="false">IF($X53="","",INDEX(Settings!$C$15:$C$17,MATCH($X53,Settings!$B$15:$B$17,0)))</f>
        <v/>
      </c>
      <c r="AM53" s="36" t="str">
        <f aca="true">IF($B53="","",IF($AH53="","No due date",IF($AI53="Closed",IF($AJ53="","Missing close date",IF($AJ53&lt;=$AH53,"On time","Late")),IF(TODAY()&gt;$AH53,"OVERDUE","In progress"))))</f>
        <v/>
      </c>
      <c r="AN53" s="35"/>
    </row>
    <row r="54" customFormat="false" ht="27.75" hidden="false" customHeight="true" outlineLevel="0" collapsed="false">
      <c r="A54" s="31" t="str">
        <f aca="false">IF($B54="","",ROW()-4)</f>
        <v/>
      </c>
      <c r="B54" s="32"/>
      <c r="C54" s="32"/>
      <c r="D54" s="33"/>
      <c r="E54" s="33"/>
      <c r="F54" s="33"/>
      <c r="G54" s="34"/>
      <c r="H54" s="33"/>
      <c r="I54" s="33"/>
      <c r="J54" s="33"/>
      <c r="K54" s="33"/>
      <c r="L54" s="35"/>
      <c r="M54" s="33"/>
      <c r="N54" s="33"/>
      <c r="O54" s="33"/>
      <c r="P54" s="33"/>
      <c r="Q54" s="35"/>
      <c r="R54" s="33"/>
      <c r="S54" s="33"/>
      <c r="T54" s="33"/>
      <c r="U54" s="33"/>
      <c r="V54" s="33"/>
      <c r="W54" s="31" t="str">
        <f aca="false">IF(OR($T54="",$U54="",$V54=""),"",$T54*$U54*$V54)</f>
        <v/>
      </c>
      <c r="X54" s="36" t="str">
        <f aca="false">IF($W54="","",IF($T54=5,"High",IF($W54&gt;=Settings!$C$20,"High",IF(OR($W54&gt;=Settings!$C$21,$T54=4),"Medium","Low"))))</f>
        <v/>
      </c>
      <c r="Y54" s="34"/>
      <c r="Z54" s="37" t="str">
        <f aca="false">IF($O54="","",$O54*Settings!$C$5)</f>
        <v/>
      </c>
      <c r="AA54" s="37" t="n">
        <f aca="false">IF(OR($H54&lt;&gt;"Complaint",$P54&lt;&gt;"Upheld",$T54=""),0,IF($G54="",Settings!$C$6,$G54)*INDEX(Settings!$C$8:$C$12,6-$T54))</f>
        <v>0</v>
      </c>
      <c r="AB54" s="37" t="str">
        <f aca="false">IF($B54="","",IF($Y54="",0,$Y54)+IF($Z54="",0,$Z54)+IF($AA54="",0,$AA54))</f>
        <v/>
      </c>
      <c r="AC54" s="35"/>
      <c r="AD54" s="33"/>
      <c r="AE54" s="36" t="str">
        <f aca="false">IF($B54="","",IF(OR($H54="Nonconformity (process)",$S54="Yes",AND(ISNUMBER($W54),$W54&gt;=Settings!$C$20)),"YES – required","No"))</f>
        <v/>
      </c>
      <c r="AF54" s="33"/>
      <c r="AG54" s="33"/>
      <c r="AH54" s="32"/>
      <c r="AI54" s="33"/>
      <c r="AJ54" s="32"/>
      <c r="AK54" s="31" t="str">
        <f aca="false">IF(OR($B54="",$AJ54=""),"",$AJ54-$B54)</f>
        <v/>
      </c>
      <c r="AL54" s="31" t="str">
        <f aca="false">IF($X54="","",INDEX(Settings!$C$15:$C$17,MATCH($X54,Settings!$B$15:$B$17,0)))</f>
        <v/>
      </c>
      <c r="AM54" s="36" t="str">
        <f aca="true">IF($B54="","",IF($AH54="","No due date",IF($AI54="Closed",IF($AJ54="","Missing close date",IF($AJ54&lt;=$AH54,"On time","Late")),IF(TODAY()&gt;$AH54,"OVERDUE","In progress"))))</f>
        <v/>
      </c>
      <c r="AN54" s="35"/>
    </row>
    <row r="55" customFormat="false" ht="27.75" hidden="false" customHeight="true" outlineLevel="0" collapsed="false">
      <c r="A55" s="31" t="str">
        <f aca="false">IF($B55="","",ROW()-4)</f>
        <v/>
      </c>
      <c r="B55" s="32"/>
      <c r="C55" s="32"/>
      <c r="D55" s="33"/>
      <c r="E55" s="33"/>
      <c r="F55" s="33"/>
      <c r="G55" s="34"/>
      <c r="H55" s="33"/>
      <c r="I55" s="33"/>
      <c r="J55" s="33"/>
      <c r="K55" s="33"/>
      <c r="L55" s="35"/>
      <c r="M55" s="33"/>
      <c r="N55" s="33"/>
      <c r="O55" s="33"/>
      <c r="P55" s="33"/>
      <c r="Q55" s="35"/>
      <c r="R55" s="33"/>
      <c r="S55" s="33"/>
      <c r="T55" s="33"/>
      <c r="U55" s="33"/>
      <c r="V55" s="33"/>
      <c r="W55" s="31" t="str">
        <f aca="false">IF(OR($T55="",$U55="",$V55=""),"",$T55*$U55*$V55)</f>
        <v/>
      </c>
      <c r="X55" s="36" t="str">
        <f aca="false">IF($W55="","",IF($T55=5,"High",IF($W55&gt;=Settings!$C$20,"High",IF(OR($W55&gt;=Settings!$C$21,$T55=4),"Medium","Low"))))</f>
        <v/>
      </c>
      <c r="Y55" s="34"/>
      <c r="Z55" s="37" t="str">
        <f aca="false">IF($O55="","",$O55*Settings!$C$5)</f>
        <v/>
      </c>
      <c r="AA55" s="37" t="n">
        <f aca="false">IF(OR($H55&lt;&gt;"Complaint",$P55&lt;&gt;"Upheld",$T55=""),0,IF($G55="",Settings!$C$6,$G55)*INDEX(Settings!$C$8:$C$12,6-$T55))</f>
        <v>0</v>
      </c>
      <c r="AB55" s="37" t="str">
        <f aca="false">IF($B55="","",IF($Y55="",0,$Y55)+IF($Z55="",0,$Z55)+IF($AA55="",0,$AA55))</f>
        <v/>
      </c>
      <c r="AC55" s="35"/>
      <c r="AD55" s="33"/>
      <c r="AE55" s="36" t="str">
        <f aca="false">IF($B55="","",IF(OR($H55="Nonconformity (process)",$S55="Yes",AND(ISNUMBER($W55),$W55&gt;=Settings!$C$20)),"YES – required","No"))</f>
        <v/>
      </c>
      <c r="AF55" s="33"/>
      <c r="AG55" s="33"/>
      <c r="AH55" s="32"/>
      <c r="AI55" s="33"/>
      <c r="AJ55" s="32"/>
      <c r="AK55" s="31" t="str">
        <f aca="false">IF(OR($B55="",$AJ55=""),"",$AJ55-$B55)</f>
        <v/>
      </c>
      <c r="AL55" s="31" t="str">
        <f aca="false">IF($X55="","",INDEX(Settings!$C$15:$C$17,MATCH($X55,Settings!$B$15:$B$17,0)))</f>
        <v/>
      </c>
      <c r="AM55" s="36" t="str">
        <f aca="true">IF($B55="","",IF($AH55="","No due date",IF($AI55="Closed",IF($AJ55="","Missing close date",IF($AJ55&lt;=$AH55,"On time","Late")),IF(TODAY()&gt;$AH55,"OVERDUE","In progress"))))</f>
        <v/>
      </c>
      <c r="AN55" s="35"/>
    </row>
    <row r="56" customFormat="false" ht="27.75" hidden="false" customHeight="true" outlineLevel="0" collapsed="false">
      <c r="A56" s="31" t="str">
        <f aca="false">IF($B56="","",ROW()-4)</f>
        <v/>
      </c>
      <c r="B56" s="32"/>
      <c r="C56" s="32"/>
      <c r="D56" s="33"/>
      <c r="E56" s="33"/>
      <c r="F56" s="33"/>
      <c r="G56" s="34"/>
      <c r="H56" s="33"/>
      <c r="I56" s="33"/>
      <c r="J56" s="33"/>
      <c r="K56" s="33"/>
      <c r="L56" s="35"/>
      <c r="M56" s="33"/>
      <c r="N56" s="33"/>
      <c r="O56" s="33"/>
      <c r="P56" s="33"/>
      <c r="Q56" s="35"/>
      <c r="R56" s="33"/>
      <c r="S56" s="33"/>
      <c r="T56" s="33"/>
      <c r="U56" s="33"/>
      <c r="V56" s="33"/>
      <c r="W56" s="31" t="str">
        <f aca="false">IF(OR($T56="",$U56="",$V56=""),"",$T56*$U56*$V56)</f>
        <v/>
      </c>
      <c r="X56" s="36" t="str">
        <f aca="false">IF($W56="","",IF($T56=5,"High",IF($W56&gt;=Settings!$C$20,"High",IF(OR($W56&gt;=Settings!$C$21,$T56=4),"Medium","Low"))))</f>
        <v/>
      </c>
      <c r="Y56" s="34"/>
      <c r="Z56" s="37" t="str">
        <f aca="false">IF($O56="","",$O56*Settings!$C$5)</f>
        <v/>
      </c>
      <c r="AA56" s="37" t="n">
        <f aca="false">IF(OR($H56&lt;&gt;"Complaint",$P56&lt;&gt;"Upheld",$T56=""),0,IF($G56="",Settings!$C$6,$G56)*INDEX(Settings!$C$8:$C$12,6-$T56))</f>
        <v>0</v>
      </c>
      <c r="AB56" s="37" t="str">
        <f aca="false">IF($B56="","",IF($Y56="",0,$Y56)+IF($Z56="",0,$Z56)+IF($AA56="",0,$AA56))</f>
        <v/>
      </c>
      <c r="AC56" s="35"/>
      <c r="AD56" s="33"/>
      <c r="AE56" s="36" t="str">
        <f aca="false">IF($B56="","",IF(OR($H56="Nonconformity (process)",$S56="Yes",AND(ISNUMBER($W56),$W56&gt;=Settings!$C$20)),"YES – required","No"))</f>
        <v/>
      </c>
      <c r="AF56" s="33"/>
      <c r="AG56" s="33"/>
      <c r="AH56" s="32"/>
      <c r="AI56" s="33"/>
      <c r="AJ56" s="32"/>
      <c r="AK56" s="31" t="str">
        <f aca="false">IF(OR($B56="",$AJ56=""),"",$AJ56-$B56)</f>
        <v/>
      </c>
      <c r="AL56" s="31" t="str">
        <f aca="false">IF($X56="","",INDEX(Settings!$C$15:$C$17,MATCH($X56,Settings!$B$15:$B$17,0)))</f>
        <v/>
      </c>
      <c r="AM56" s="36" t="str">
        <f aca="true">IF($B56="","",IF($AH56="","No due date",IF($AI56="Closed",IF($AJ56="","Missing close date",IF($AJ56&lt;=$AH56,"On time","Late")),IF(TODAY()&gt;$AH56,"OVERDUE","In progress"))))</f>
        <v/>
      </c>
      <c r="AN56" s="35"/>
    </row>
    <row r="57" customFormat="false" ht="27.75" hidden="false" customHeight="true" outlineLevel="0" collapsed="false">
      <c r="A57" s="31" t="str">
        <f aca="false">IF($B57="","",ROW()-4)</f>
        <v/>
      </c>
      <c r="B57" s="32"/>
      <c r="C57" s="32"/>
      <c r="D57" s="33"/>
      <c r="E57" s="33"/>
      <c r="F57" s="33"/>
      <c r="G57" s="34"/>
      <c r="H57" s="33"/>
      <c r="I57" s="33"/>
      <c r="J57" s="33"/>
      <c r="K57" s="33"/>
      <c r="L57" s="35"/>
      <c r="M57" s="33"/>
      <c r="N57" s="33"/>
      <c r="O57" s="33"/>
      <c r="P57" s="33"/>
      <c r="Q57" s="35"/>
      <c r="R57" s="33"/>
      <c r="S57" s="33"/>
      <c r="T57" s="33"/>
      <c r="U57" s="33"/>
      <c r="V57" s="33"/>
      <c r="W57" s="31" t="str">
        <f aca="false">IF(OR($T57="",$U57="",$V57=""),"",$T57*$U57*$V57)</f>
        <v/>
      </c>
      <c r="X57" s="36" t="str">
        <f aca="false">IF($W57="","",IF($T57=5,"High",IF($W57&gt;=Settings!$C$20,"High",IF(OR($W57&gt;=Settings!$C$21,$T57=4),"Medium","Low"))))</f>
        <v/>
      </c>
      <c r="Y57" s="34"/>
      <c r="Z57" s="37" t="str">
        <f aca="false">IF($O57="","",$O57*Settings!$C$5)</f>
        <v/>
      </c>
      <c r="AA57" s="37" t="n">
        <f aca="false">IF(OR($H57&lt;&gt;"Complaint",$P57&lt;&gt;"Upheld",$T57=""),0,IF($G57="",Settings!$C$6,$G57)*INDEX(Settings!$C$8:$C$12,6-$T57))</f>
        <v>0</v>
      </c>
      <c r="AB57" s="37" t="str">
        <f aca="false">IF($B57="","",IF($Y57="",0,$Y57)+IF($Z57="",0,$Z57)+IF($AA57="",0,$AA57))</f>
        <v/>
      </c>
      <c r="AC57" s="35"/>
      <c r="AD57" s="33"/>
      <c r="AE57" s="36" t="str">
        <f aca="false">IF($B57="","",IF(OR($H57="Nonconformity (process)",$S57="Yes",AND(ISNUMBER($W57),$W57&gt;=Settings!$C$20)),"YES – required","No"))</f>
        <v/>
      </c>
      <c r="AF57" s="33"/>
      <c r="AG57" s="33"/>
      <c r="AH57" s="32"/>
      <c r="AI57" s="33"/>
      <c r="AJ57" s="32"/>
      <c r="AK57" s="31" t="str">
        <f aca="false">IF(OR($B57="",$AJ57=""),"",$AJ57-$B57)</f>
        <v/>
      </c>
      <c r="AL57" s="31" t="str">
        <f aca="false">IF($X57="","",INDEX(Settings!$C$15:$C$17,MATCH($X57,Settings!$B$15:$B$17,0)))</f>
        <v/>
      </c>
      <c r="AM57" s="36" t="str">
        <f aca="true">IF($B57="","",IF($AH57="","No due date",IF($AI57="Closed",IF($AJ57="","Missing close date",IF($AJ57&lt;=$AH57,"On time","Late")),IF(TODAY()&gt;$AH57,"OVERDUE","In progress"))))</f>
        <v/>
      </c>
      <c r="AN57" s="35"/>
    </row>
    <row r="58" customFormat="false" ht="27.75" hidden="false" customHeight="true" outlineLevel="0" collapsed="false">
      <c r="A58" s="31" t="str">
        <f aca="false">IF($B58="","",ROW()-4)</f>
        <v/>
      </c>
      <c r="B58" s="32"/>
      <c r="C58" s="32"/>
      <c r="D58" s="33"/>
      <c r="E58" s="33"/>
      <c r="F58" s="33"/>
      <c r="G58" s="34"/>
      <c r="H58" s="33"/>
      <c r="I58" s="33"/>
      <c r="J58" s="33"/>
      <c r="K58" s="33"/>
      <c r="L58" s="35"/>
      <c r="M58" s="33"/>
      <c r="N58" s="33"/>
      <c r="O58" s="33"/>
      <c r="P58" s="33"/>
      <c r="Q58" s="35"/>
      <c r="R58" s="33"/>
      <c r="S58" s="33"/>
      <c r="T58" s="33"/>
      <c r="U58" s="33"/>
      <c r="V58" s="33"/>
      <c r="W58" s="31" t="str">
        <f aca="false">IF(OR($T58="",$U58="",$V58=""),"",$T58*$U58*$V58)</f>
        <v/>
      </c>
      <c r="X58" s="36" t="str">
        <f aca="false">IF($W58="","",IF($T58=5,"High",IF($W58&gt;=Settings!$C$20,"High",IF(OR($W58&gt;=Settings!$C$21,$T58=4),"Medium","Low"))))</f>
        <v/>
      </c>
      <c r="Y58" s="34"/>
      <c r="Z58" s="37" t="str">
        <f aca="false">IF($O58="","",$O58*Settings!$C$5)</f>
        <v/>
      </c>
      <c r="AA58" s="37" t="n">
        <f aca="false">IF(OR($H58&lt;&gt;"Complaint",$P58&lt;&gt;"Upheld",$T58=""),0,IF($G58="",Settings!$C$6,$G58)*INDEX(Settings!$C$8:$C$12,6-$T58))</f>
        <v>0</v>
      </c>
      <c r="AB58" s="37" t="str">
        <f aca="false">IF($B58="","",IF($Y58="",0,$Y58)+IF($Z58="",0,$Z58)+IF($AA58="",0,$AA58))</f>
        <v/>
      </c>
      <c r="AC58" s="35"/>
      <c r="AD58" s="33"/>
      <c r="AE58" s="36" t="str">
        <f aca="false">IF($B58="","",IF(OR($H58="Nonconformity (process)",$S58="Yes",AND(ISNUMBER($W58),$W58&gt;=Settings!$C$20)),"YES – required","No"))</f>
        <v/>
      </c>
      <c r="AF58" s="33"/>
      <c r="AG58" s="33"/>
      <c r="AH58" s="32"/>
      <c r="AI58" s="33"/>
      <c r="AJ58" s="32"/>
      <c r="AK58" s="31" t="str">
        <f aca="false">IF(OR($B58="",$AJ58=""),"",$AJ58-$B58)</f>
        <v/>
      </c>
      <c r="AL58" s="31" t="str">
        <f aca="false">IF($X58="","",INDEX(Settings!$C$15:$C$17,MATCH($X58,Settings!$B$15:$B$17,0)))</f>
        <v/>
      </c>
      <c r="AM58" s="36" t="str">
        <f aca="true">IF($B58="","",IF($AH58="","No due date",IF($AI58="Closed",IF($AJ58="","Missing close date",IF($AJ58&lt;=$AH58,"On time","Late")),IF(TODAY()&gt;$AH58,"OVERDUE","In progress"))))</f>
        <v/>
      </c>
      <c r="AN58" s="35"/>
    </row>
    <row r="59" customFormat="false" ht="27.75" hidden="false" customHeight="true" outlineLevel="0" collapsed="false">
      <c r="A59" s="31" t="str">
        <f aca="false">IF($B59="","",ROW()-4)</f>
        <v/>
      </c>
      <c r="B59" s="32"/>
      <c r="C59" s="32"/>
      <c r="D59" s="33"/>
      <c r="E59" s="33"/>
      <c r="F59" s="33"/>
      <c r="G59" s="34"/>
      <c r="H59" s="33"/>
      <c r="I59" s="33"/>
      <c r="J59" s="33"/>
      <c r="K59" s="33"/>
      <c r="L59" s="35"/>
      <c r="M59" s="33"/>
      <c r="N59" s="33"/>
      <c r="O59" s="33"/>
      <c r="P59" s="33"/>
      <c r="Q59" s="35"/>
      <c r="R59" s="33"/>
      <c r="S59" s="33"/>
      <c r="T59" s="33"/>
      <c r="U59" s="33"/>
      <c r="V59" s="33"/>
      <c r="W59" s="31" t="str">
        <f aca="false">IF(OR($T59="",$U59="",$V59=""),"",$T59*$U59*$V59)</f>
        <v/>
      </c>
      <c r="X59" s="36" t="str">
        <f aca="false">IF($W59="","",IF($T59=5,"High",IF($W59&gt;=Settings!$C$20,"High",IF(OR($W59&gt;=Settings!$C$21,$T59=4),"Medium","Low"))))</f>
        <v/>
      </c>
      <c r="Y59" s="34"/>
      <c r="Z59" s="37" t="str">
        <f aca="false">IF($O59="","",$O59*Settings!$C$5)</f>
        <v/>
      </c>
      <c r="AA59" s="37" t="n">
        <f aca="false">IF(OR($H59&lt;&gt;"Complaint",$P59&lt;&gt;"Upheld",$T59=""),0,IF($G59="",Settings!$C$6,$G59)*INDEX(Settings!$C$8:$C$12,6-$T59))</f>
        <v>0</v>
      </c>
      <c r="AB59" s="37" t="str">
        <f aca="false">IF($B59="","",IF($Y59="",0,$Y59)+IF($Z59="",0,$Z59)+IF($AA59="",0,$AA59))</f>
        <v/>
      </c>
      <c r="AC59" s="35"/>
      <c r="AD59" s="33"/>
      <c r="AE59" s="36" t="str">
        <f aca="false">IF($B59="","",IF(OR($H59="Nonconformity (process)",$S59="Yes",AND(ISNUMBER($W59),$W59&gt;=Settings!$C$20)),"YES – required","No"))</f>
        <v/>
      </c>
      <c r="AF59" s="33"/>
      <c r="AG59" s="33"/>
      <c r="AH59" s="32"/>
      <c r="AI59" s="33"/>
      <c r="AJ59" s="32"/>
      <c r="AK59" s="31" t="str">
        <f aca="false">IF(OR($B59="",$AJ59=""),"",$AJ59-$B59)</f>
        <v/>
      </c>
      <c r="AL59" s="31" t="str">
        <f aca="false">IF($X59="","",INDEX(Settings!$C$15:$C$17,MATCH($X59,Settings!$B$15:$B$17,0)))</f>
        <v/>
      </c>
      <c r="AM59" s="36" t="str">
        <f aca="true">IF($B59="","",IF($AH59="","No due date",IF($AI59="Closed",IF($AJ59="","Missing close date",IF($AJ59&lt;=$AH59,"On time","Late")),IF(TODAY()&gt;$AH59,"OVERDUE","In progress"))))</f>
        <v/>
      </c>
      <c r="AN59" s="35"/>
    </row>
    <row r="60" customFormat="false" ht="27.75" hidden="false" customHeight="true" outlineLevel="0" collapsed="false">
      <c r="A60" s="31" t="str">
        <f aca="false">IF($B60="","",ROW()-4)</f>
        <v/>
      </c>
      <c r="B60" s="32"/>
      <c r="C60" s="32"/>
      <c r="D60" s="33"/>
      <c r="E60" s="33"/>
      <c r="F60" s="33"/>
      <c r="G60" s="34"/>
      <c r="H60" s="33"/>
      <c r="I60" s="33"/>
      <c r="J60" s="33"/>
      <c r="K60" s="33"/>
      <c r="L60" s="35"/>
      <c r="M60" s="33"/>
      <c r="N60" s="33"/>
      <c r="O60" s="33"/>
      <c r="P60" s="33"/>
      <c r="Q60" s="35"/>
      <c r="R60" s="33"/>
      <c r="S60" s="33"/>
      <c r="T60" s="33"/>
      <c r="U60" s="33"/>
      <c r="V60" s="33"/>
      <c r="W60" s="31" t="str">
        <f aca="false">IF(OR($T60="",$U60="",$V60=""),"",$T60*$U60*$V60)</f>
        <v/>
      </c>
      <c r="X60" s="36" t="str">
        <f aca="false">IF($W60="","",IF($T60=5,"High",IF($W60&gt;=Settings!$C$20,"High",IF(OR($W60&gt;=Settings!$C$21,$T60=4),"Medium","Low"))))</f>
        <v/>
      </c>
      <c r="Y60" s="34"/>
      <c r="Z60" s="37" t="str">
        <f aca="false">IF($O60="","",$O60*Settings!$C$5)</f>
        <v/>
      </c>
      <c r="AA60" s="37" t="n">
        <f aca="false">IF(OR($H60&lt;&gt;"Complaint",$P60&lt;&gt;"Upheld",$T60=""),0,IF($G60="",Settings!$C$6,$G60)*INDEX(Settings!$C$8:$C$12,6-$T60))</f>
        <v>0</v>
      </c>
      <c r="AB60" s="37" t="str">
        <f aca="false">IF($B60="","",IF($Y60="",0,$Y60)+IF($Z60="",0,$Z60)+IF($AA60="",0,$AA60))</f>
        <v/>
      </c>
      <c r="AC60" s="35"/>
      <c r="AD60" s="33"/>
      <c r="AE60" s="36" t="str">
        <f aca="false">IF($B60="","",IF(OR($H60="Nonconformity (process)",$S60="Yes",AND(ISNUMBER($W60),$W60&gt;=Settings!$C$20)),"YES – required","No"))</f>
        <v/>
      </c>
      <c r="AF60" s="33"/>
      <c r="AG60" s="33"/>
      <c r="AH60" s="32"/>
      <c r="AI60" s="33"/>
      <c r="AJ60" s="32"/>
      <c r="AK60" s="31" t="str">
        <f aca="false">IF(OR($B60="",$AJ60=""),"",$AJ60-$B60)</f>
        <v/>
      </c>
      <c r="AL60" s="31" t="str">
        <f aca="false">IF($X60="","",INDEX(Settings!$C$15:$C$17,MATCH($X60,Settings!$B$15:$B$17,0)))</f>
        <v/>
      </c>
      <c r="AM60" s="36" t="str">
        <f aca="true">IF($B60="","",IF($AH60="","No due date",IF($AI60="Closed",IF($AJ60="","Missing close date",IF($AJ60&lt;=$AH60,"On time","Late")),IF(TODAY()&gt;$AH60,"OVERDUE","In progress"))))</f>
        <v/>
      </c>
      <c r="AN60" s="35"/>
    </row>
    <row r="61" customFormat="false" ht="27.75" hidden="false" customHeight="true" outlineLevel="0" collapsed="false">
      <c r="A61" s="31" t="str">
        <f aca="false">IF($B61="","",ROW()-4)</f>
        <v/>
      </c>
      <c r="B61" s="32"/>
      <c r="C61" s="32"/>
      <c r="D61" s="33"/>
      <c r="E61" s="33"/>
      <c r="F61" s="33"/>
      <c r="G61" s="34"/>
      <c r="H61" s="33"/>
      <c r="I61" s="33"/>
      <c r="J61" s="33"/>
      <c r="K61" s="33"/>
      <c r="L61" s="35"/>
      <c r="M61" s="33"/>
      <c r="N61" s="33"/>
      <c r="O61" s="33"/>
      <c r="P61" s="33"/>
      <c r="Q61" s="35"/>
      <c r="R61" s="33"/>
      <c r="S61" s="33"/>
      <c r="T61" s="33"/>
      <c r="U61" s="33"/>
      <c r="V61" s="33"/>
      <c r="W61" s="31" t="str">
        <f aca="false">IF(OR($T61="",$U61="",$V61=""),"",$T61*$U61*$V61)</f>
        <v/>
      </c>
      <c r="X61" s="36" t="str">
        <f aca="false">IF($W61="","",IF($T61=5,"High",IF($W61&gt;=Settings!$C$20,"High",IF(OR($W61&gt;=Settings!$C$21,$T61=4),"Medium","Low"))))</f>
        <v/>
      </c>
      <c r="Y61" s="34"/>
      <c r="Z61" s="37" t="str">
        <f aca="false">IF($O61="","",$O61*Settings!$C$5)</f>
        <v/>
      </c>
      <c r="AA61" s="37" t="n">
        <f aca="false">IF(OR($H61&lt;&gt;"Complaint",$P61&lt;&gt;"Upheld",$T61=""),0,IF($G61="",Settings!$C$6,$G61)*INDEX(Settings!$C$8:$C$12,6-$T61))</f>
        <v>0</v>
      </c>
      <c r="AB61" s="37" t="str">
        <f aca="false">IF($B61="","",IF($Y61="",0,$Y61)+IF($Z61="",0,$Z61)+IF($AA61="",0,$AA61))</f>
        <v/>
      </c>
      <c r="AC61" s="35"/>
      <c r="AD61" s="33"/>
      <c r="AE61" s="36" t="str">
        <f aca="false">IF($B61="","",IF(OR($H61="Nonconformity (process)",$S61="Yes",AND(ISNUMBER($W61),$W61&gt;=Settings!$C$20)),"YES – required","No"))</f>
        <v/>
      </c>
      <c r="AF61" s="33"/>
      <c r="AG61" s="33"/>
      <c r="AH61" s="32"/>
      <c r="AI61" s="33"/>
      <c r="AJ61" s="32"/>
      <c r="AK61" s="31" t="str">
        <f aca="false">IF(OR($B61="",$AJ61=""),"",$AJ61-$B61)</f>
        <v/>
      </c>
      <c r="AL61" s="31" t="str">
        <f aca="false">IF($X61="","",INDEX(Settings!$C$15:$C$17,MATCH($X61,Settings!$B$15:$B$17,0)))</f>
        <v/>
      </c>
      <c r="AM61" s="36" t="str">
        <f aca="true">IF($B61="","",IF($AH61="","No due date",IF($AI61="Closed",IF($AJ61="","Missing close date",IF($AJ61&lt;=$AH61,"On time","Late")),IF(TODAY()&gt;$AH61,"OVERDUE","In progress"))))</f>
        <v/>
      </c>
      <c r="AN61" s="35"/>
    </row>
    <row r="62" customFormat="false" ht="27.75" hidden="false" customHeight="true" outlineLevel="0" collapsed="false">
      <c r="A62" s="31" t="str">
        <f aca="false">IF($B62="","",ROW()-4)</f>
        <v/>
      </c>
      <c r="B62" s="32"/>
      <c r="C62" s="32"/>
      <c r="D62" s="33"/>
      <c r="E62" s="33"/>
      <c r="F62" s="33"/>
      <c r="G62" s="34"/>
      <c r="H62" s="33"/>
      <c r="I62" s="33"/>
      <c r="J62" s="33"/>
      <c r="K62" s="33"/>
      <c r="L62" s="35"/>
      <c r="M62" s="33"/>
      <c r="N62" s="33"/>
      <c r="O62" s="33"/>
      <c r="P62" s="33"/>
      <c r="Q62" s="35"/>
      <c r="R62" s="33"/>
      <c r="S62" s="33"/>
      <c r="T62" s="33"/>
      <c r="U62" s="33"/>
      <c r="V62" s="33"/>
      <c r="W62" s="31" t="str">
        <f aca="false">IF(OR($T62="",$U62="",$V62=""),"",$T62*$U62*$V62)</f>
        <v/>
      </c>
      <c r="X62" s="36" t="str">
        <f aca="false">IF($W62="","",IF($T62=5,"High",IF($W62&gt;=Settings!$C$20,"High",IF(OR($W62&gt;=Settings!$C$21,$T62=4),"Medium","Low"))))</f>
        <v/>
      </c>
      <c r="Y62" s="34"/>
      <c r="Z62" s="37" t="str">
        <f aca="false">IF($O62="","",$O62*Settings!$C$5)</f>
        <v/>
      </c>
      <c r="AA62" s="37" t="n">
        <f aca="false">IF(OR($H62&lt;&gt;"Complaint",$P62&lt;&gt;"Upheld",$T62=""),0,IF($G62="",Settings!$C$6,$G62)*INDEX(Settings!$C$8:$C$12,6-$T62))</f>
        <v>0</v>
      </c>
      <c r="AB62" s="37" t="str">
        <f aca="false">IF($B62="","",IF($Y62="",0,$Y62)+IF($Z62="",0,$Z62)+IF($AA62="",0,$AA62))</f>
        <v/>
      </c>
      <c r="AC62" s="35"/>
      <c r="AD62" s="33"/>
      <c r="AE62" s="36" t="str">
        <f aca="false">IF($B62="","",IF(OR($H62="Nonconformity (process)",$S62="Yes",AND(ISNUMBER($W62),$W62&gt;=Settings!$C$20)),"YES – required","No"))</f>
        <v/>
      </c>
      <c r="AF62" s="33"/>
      <c r="AG62" s="33"/>
      <c r="AH62" s="32"/>
      <c r="AI62" s="33"/>
      <c r="AJ62" s="32"/>
      <c r="AK62" s="31" t="str">
        <f aca="false">IF(OR($B62="",$AJ62=""),"",$AJ62-$B62)</f>
        <v/>
      </c>
      <c r="AL62" s="31" t="str">
        <f aca="false">IF($X62="","",INDEX(Settings!$C$15:$C$17,MATCH($X62,Settings!$B$15:$B$17,0)))</f>
        <v/>
      </c>
      <c r="AM62" s="36" t="str">
        <f aca="true">IF($B62="","",IF($AH62="","No due date",IF($AI62="Closed",IF($AJ62="","Missing close date",IF($AJ62&lt;=$AH62,"On time","Late")),IF(TODAY()&gt;$AH62,"OVERDUE","In progress"))))</f>
        <v/>
      </c>
      <c r="AN62" s="35"/>
    </row>
    <row r="63" customFormat="false" ht="27.75" hidden="false" customHeight="true" outlineLevel="0" collapsed="false">
      <c r="A63" s="31" t="str">
        <f aca="false">IF($B63="","",ROW()-4)</f>
        <v/>
      </c>
      <c r="B63" s="32"/>
      <c r="C63" s="32"/>
      <c r="D63" s="33"/>
      <c r="E63" s="33"/>
      <c r="F63" s="33"/>
      <c r="G63" s="34"/>
      <c r="H63" s="33"/>
      <c r="I63" s="33"/>
      <c r="J63" s="33"/>
      <c r="K63" s="33"/>
      <c r="L63" s="35"/>
      <c r="M63" s="33"/>
      <c r="N63" s="33"/>
      <c r="O63" s="33"/>
      <c r="P63" s="33"/>
      <c r="Q63" s="35"/>
      <c r="R63" s="33"/>
      <c r="S63" s="33"/>
      <c r="T63" s="33"/>
      <c r="U63" s="33"/>
      <c r="V63" s="33"/>
      <c r="W63" s="31" t="str">
        <f aca="false">IF(OR($T63="",$U63="",$V63=""),"",$T63*$U63*$V63)</f>
        <v/>
      </c>
      <c r="X63" s="36" t="str">
        <f aca="false">IF($W63="","",IF($T63=5,"High",IF($W63&gt;=Settings!$C$20,"High",IF(OR($W63&gt;=Settings!$C$21,$T63=4),"Medium","Low"))))</f>
        <v/>
      </c>
      <c r="Y63" s="34"/>
      <c r="Z63" s="37" t="str">
        <f aca="false">IF($O63="","",$O63*Settings!$C$5)</f>
        <v/>
      </c>
      <c r="AA63" s="37" t="n">
        <f aca="false">IF(OR($H63&lt;&gt;"Complaint",$P63&lt;&gt;"Upheld",$T63=""),0,IF($G63="",Settings!$C$6,$G63)*INDEX(Settings!$C$8:$C$12,6-$T63))</f>
        <v>0</v>
      </c>
      <c r="AB63" s="37" t="str">
        <f aca="false">IF($B63="","",IF($Y63="",0,$Y63)+IF($Z63="",0,$Z63)+IF($AA63="",0,$AA63))</f>
        <v/>
      </c>
      <c r="AC63" s="35"/>
      <c r="AD63" s="33"/>
      <c r="AE63" s="36" t="str">
        <f aca="false">IF($B63="","",IF(OR($H63="Nonconformity (process)",$S63="Yes",AND(ISNUMBER($W63),$W63&gt;=Settings!$C$20)),"YES – required","No"))</f>
        <v/>
      </c>
      <c r="AF63" s="33"/>
      <c r="AG63" s="33"/>
      <c r="AH63" s="32"/>
      <c r="AI63" s="33"/>
      <c r="AJ63" s="32"/>
      <c r="AK63" s="31" t="str">
        <f aca="false">IF(OR($B63="",$AJ63=""),"",$AJ63-$B63)</f>
        <v/>
      </c>
      <c r="AL63" s="31" t="str">
        <f aca="false">IF($X63="","",INDEX(Settings!$C$15:$C$17,MATCH($X63,Settings!$B$15:$B$17,0)))</f>
        <v/>
      </c>
      <c r="AM63" s="36" t="str">
        <f aca="true">IF($B63="","",IF($AH63="","No due date",IF($AI63="Closed",IF($AJ63="","Missing close date",IF($AJ63&lt;=$AH63,"On time","Late")),IF(TODAY()&gt;$AH63,"OVERDUE","In progress"))))</f>
        <v/>
      </c>
      <c r="AN63" s="35"/>
    </row>
    <row r="64" customFormat="false" ht="27.75" hidden="false" customHeight="true" outlineLevel="0" collapsed="false">
      <c r="A64" s="31" t="str">
        <f aca="false">IF($B64="","",ROW()-4)</f>
        <v/>
      </c>
      <c r="B64" s="32"/>
      <c r="C64" s="32"/>
      <c r="D64" s="33"/>
      <c r="E64" s="33"/>
      <c r="F64" s="33"/>
      <c r="G64" s="34"/>
      <c r="H64" s="33"/>
      <c r="I64" s="33"/>
      <c r="J64" s="33"/>
      <c r="K64" s="33"/>
      <c r="L64" s="35"/>
      <c r="M64" s="33"/>
      <c r="N64" s="33"/>
      <c r="O64" s="33"/>
      <c r="P64" s="33"/>
      <c r="Q64" s="35"/>
      <c r="R64" s="33"/>
      <c r="S64" s="33"/>
      <c r="T64" s="33"/>
      <c r="U64" s="33"/>
      <c r="V64" s="33"/>
      <c r="W64" s="31" t="str">
        <f aca="false">IF(OR($T64="",$U64="",$V64=""),"",$T64*$U64*$V64)</f>
        <v/>
      </c>
      <c r="X64" s="36" t="str">
        <f aca="false">IF($W64="","",IF($T64=5,"High",IF($W64&gt;=Settings!$C$20,"High",IF(OR($W64&gt;=Settings!$C$21,$T64=4),"Medium","Low"))))</f>
        <v/>
      </c>
      <c r="Y64" s="34"/>
      <c r="Z64" s="37" t="str">
        <f aca="false">IF($O64="","",$O64*Settings!$C$5)</f>
        <v/>
      </c>
      <c r="AA64" s="37" t="n">
        <f aca="false">IF(OR($H64&lt;&gt;"Complaint",$P64&lt;&gt;"Upheld",$T64=""),0,IF($G64="",Settings!$C$6,$G64)*INDEX(Settings!$C$8:$C$12,6-$T64))</f>
        <v>0</v>
      </c>
      <c r="AB64" s="37" t="str">
        <f aca="false">IF($B64="","",IF($Y64="",0,$Y64)+IF($Z64="",0,$Z64)+IF($AA64="",0,$AA64))</f>
        <v/>
      </c>
      <c r="AC64" s="35"/>
      <c r="AD64" s="33"/>
      <c r="AE64" s="36" t="str">
        <f aca="false">IF($B64="","",IF(OR($H64="Nonconformity (process)",$S64="Yes",AND(ISNUMBER($W64),$W64&gt;=Settings!$C$20)),"YES – required","No"))</f>
        <v/>
      </c>
      <c r="AF64" s="33"/>
      <c r="AG64" s="33"/>
      <c r="AH64" s="32"/>
      <c r="AI64" s="33"/>
      <c r="AJ64" s="32"/>
      <c r="AK64" s="31" t="str">
        <f aca="false">IF(OR($B64="",$AJ64=""),"",$AJ64-$B64)</f>
        <v/>
      </c>
      <c r="AL64" s="31" t="str">
        <f aca="false">IF($X64="","",INDEX(Settings!$C$15:$C$17,MATCH($X64,Settings!$B$15:$B$17,0)))</f>
        <v/>
      </c>
      <c r="AM64" s="36" t="str">
        <f aca="true">IF($B64="","",IF($AH64="","No due date",IF($AI64="Closed",IF($AJ64="","Missing close date",IF($AJ64&lt;=$AH64,"On time","Late")),IF(TODAY()&gt;$AH64,"OVERDUE","In progress"))))</f>
        <v/>
      </c>
      <c r="AN64" s="35"/>
    </row>
    <row r="65" customFormat="false" ht="27.75" hidden="false" customHeight="true" outlineLevel="0" collapsed="false">
      <c r="A65" s="31" t="str">
        <f aca="false">IF($B65="","",ROW()-4)</f>
        <v/>
      </c>
      <c r="B65" s="32"/>
      <c r="C65" s="32"/>
      <c r="D65" s="33"/>
      <c r="E65" s="33"/>
      <c r="F65" s="33"/>
      <c r="G65" s="34"/>
      <c r="H65" s="33"/>
      <c r="I65" s="33"/>
      <c r="J65" s="33"/>
      <c r="K65" s="33"/>
      <c r="L65" s="35"/>
      <c r="M65" s="33"/>
      <c r="N65" s="33"/>
      <c r="O65" s="33"/>
      <c r="P65" s="33"/>
      <c r="Q65" s="35"/>
      <c r="R65" s="33"/>
      <c r="S65" s="33"/>
      <c r="T65" s="33"/>
      <c r="U65" s="33"/>
      <c r="V65" s="33"/>
      <c r="W65" s="31" t="str">
        <f aca="false">IF(OR($T65="",$U65="",$V65=""),"",$T65*$U65*$V65)</f>
        <v/>
      </c>
      <c r="X65" s="36" t="str">
        <f aca="false">IF($W65="","",IF($T65=5,"High",IF($W65&gt;=Settings!$C$20,"High",IF(OR($W65&gt;=Settings!$C$21,$T65=4),"Medium","Low"))))</f>
        <v/>
      </c>
      <c r="Y65" s="34"/>
      <c r="Z65" s="37" t="str">
        <f aca="false">IF($O65="","",$O65*Settings!$C$5)</f>
        <v/>
      </c>
      <c r="AA65" s="37" t="n">
        <f aca="false">IF(OR($H65&lt;&gt;"Complaint",$P65&lt;&gt;"Upheld",$T65=""),0,IF($G65="",Settings!$C$6,$G65)*INDEX(Settings!$C$8:$C$12,6-$T65))</f>
        <v>0</v>
      </c>
      <c r="AB65" s="37" t="str">
        <f aca="false">IF($B65="","",IF($Y65="",0,$Y65)+IF($Z65="",0,$Z65)+IF($AA65="",0,$AA65))</f>
        <v/>
      </c>
      <c r="AC65" s="35"/>
      <c r="AD65" s="33"/>
      <c r="AE65" s="36" t="str">
        <f aca="false">IF($B65="","",IF(OR($H65="Nonconformity (process)",$S65="Yes",AND(ISNUMBER($W65),$W65&gt;=Settings!$C$20)),"YES – required","No"))</f>
        <v/>
      </c>
      <c r="AF65" s="33"/>
      <c r="AG65" s="33"/>
      <c r="AH65" s="32"/>
      <c r="AI65" s="33"/>
      <c r="AJ65" s="32"/>
      <c r="AK65" s="31" t="str">
        <f aca="false">IF(OR($B65="",$AJ65=""),"",$AJ65-$B65)</f>
        <v/>
      </c>
      <c r="AL65" s="31" t="str">
        <f aca="false">IF($X65="","",INDEX(Settings!$C$15:$C$17,MATCH($X65,Settings!$B$15:$B$17,0)))</f>
        <v/>
      </c>
      <c r="AM65" s="36" t="str">
        <f aca="true">IF($B65="","",IF($AH65="","No due date",IF($AI65="Closed",IF($AJ65="","Missing close date",IF($AJ65&lt;=$AH65,"On time","Late")),IF(TODAY()&gt;$AH65,"OVERDUE","In progress"))))</f>
        <v/>
      </c>
      <c r="AN65" s="35"/>
    </row>
    <row r="66" customFormat="false" ht="27.75" hidden="false" customHeight="true" outlineLevel="0" collapsed="false">
      <c r="A66" s="31" t="str">
        <f aca="false">IF($B66="","",ROW()-4)</f>
        <v/>
      </c>
      <c r="B66" s="32"/>
      <c r="C66" s="32"/>
      <c r="D66" s="33"/>
      <c r="E66" s="33"/>
      <c r="F66" s="33"/>
      <c r="G66" s="34"/>
      <c r="H66" s="33"/>
      <c r="I66" s="33"/>
      <c r="J66" s="33"/>
      <c r="K66" s="33"/>
      <c r="L66" s="35"/>
      <c r="M66" s="33"/>
      <c r="N66" s="33"/>
      <c r="O66" s="33"/>
      <c r="P66" s="33"/>
      <c r="Q66" s="35"/>
      <c r="R66" s="33"/>
      <c r="S66" s="33"/>
      <c r="T66" s="33"/>
      <c r="U66" s="33"/>
      <c r="V66" s="33"/>
      <c r="W66" s="31" t="str">
        <f aca="false">IF(OR($T66="",$U66="",$V66=""),"",$T66*$U66*$V66)</f>
        <v/>
      </c>
      <c r="X66" s="36" t="str">
        <f aca="false">IF($W66="","",IF($T66=5,"High",IF($W66&gt;=Settings!$C$20,"High",IF(OR($W66&gt;=Settings!$C$21,$T66=4),"Medium","Low"))))</f>
        <v/>
      </c>
      <c r="Y66" s="34"/>
      <c r="Z66" s="37" t="str">
        <f aca="false">IF($O66="","",$O66*Settings!$C$5)</f>
        <v/>
      </c>
      <c r="AA66" s="37" t="n">
        <f aca="false">IF(OR($H66&lt;&gt;"Complaint",$P66&lt;&gt;"Upheld",$T66=""),0,IF($G66="",Settings!$C$6,$G66)*INDEX(Settings!$C$8:$C$12,6-$T66))</f>
        <v>0</v>
      </c>
      <c r="AB66" s="37" t="str">
        <f aca="false">IF($B66="","",IF($Y66="",0,$Y66)+IF($Z66="",0,$Z66)+IF($AA66="",0,$AA66))</f>
        <v/>
      </c>
      <c r="AC66" s="35"/>
      <c r="AD66" s="33"/>
      <c r="AE66" s="36" t="str">
        <f aca="false">IF($B66="","",IF(OR($H66="Nonconformity (process)",$S66="Yes",AND(ISNUMBER($W66),$W66&gt;=Settings!$C$20)),"YES – required","No"))</f>
        <v/>
      </c>
      <c r="AF66" s="33"/>
      <c r="AG66" s="33"/>
      <c r="AH66" s="32"/>
      <c r="AI66" s="33"/>
      <c r="AJ66" s="32"/>
      <c r="AK66" s="31" t="str">
        <f aca="false">IF(OR($B66="",$AJ66=""),"",$AJ66-$B66)</f>
        <v/>
      </c>
      <c r="AL66" s="31" t="str">
        <f aca="false">IF($X66="","",INDEX(Settings!$C$15:$C$17,MATCH($X66,Settings!$B$15:$B$17,0)))</f>
        <v/>
      </c>
      <c r="AM66" s="36" t="str">
        <f aca="true">IF($B66="","",IF($AH66="","No due date",IF($AI66="Closed",IF($AJ66="","Missing close date",IF($AJ66&lt;=$AH66,"On time","Late")),IF(TODAY()&gt;$AH66,"OVERDUE","In progress"))))</f>
        <v/>
      </c>
      <c r="AN66" s="35"/>
    </row>
    <row r="67" customFormat="false" ht="27.75" hidden="false" customHeight="true" outlineLevel="0" collapsed="false">
      <c r="A67" s="31" t="str">
        <f aca="false">IF($B67="","",ROW()-4)</f>
        <v/>
      </c>
      <c r="B67" s="32"/>
      <c r="C67" s="32"/>
      <c r="D67" s="33"/>
      <c r="E67" s="33"/>
      <c r="F67" s="33"/>
      <c r="G67" s="34"/>
      <c r="H67" s="33"/>
      <c r="I67" s="33"/>
      <c r="J67" s="33"/>
      <c r="K67" s="33"/>
      <c r="L67" s="35"/>
      <c r="M67" s="33"/>
      <c r="N67" s="33"/>
      <c r="O67" s="33"/>
      <c r="P67" s="33"/>
      <c r="Q67" s="35"/>
      <c r="R67" s="33"/>
      <c r="S67" s="33"/>
      <c r="T67" s="33"/>
      <c r="U67" s="33"/>
      <c r="V67" s="33"/>
      <c r="W67" s="31" t="str">
        <f aca="false">IF(OR($T67="",$U67="",$V67=""),"",$T67*$U67*$V67)</f>
        <v/>
      </c>
      <c r="X67" s="36" t="str">
        <f aca="false">IF($W67="","",IF($T67=5,"High",IF($W67&gt;=Settings!$C$20,"High",IF(OR($W67&gt;=Settings!$C$21,$T67=4),"Medium","Low"))))</f>
        <v/>
      </c>
      <c r="Y67" s="34"/>
      <c r="Z67" s="37" t="str">
        <f aca="false">IF($O67="","",$O67*Settings!$C$5)</f>
        <v/>
      </c>
      <c r="AA67" s="37" t="n">
        <f aca="false">IF(OR($H67&lt;&gt;"Complaint",$P67&lt;&gt;"Upheld",$T67=""),0,IF($G67="",Settings!$C$6,$G67)*INDEX(Settings!$C$8:$C$12,6-$T67))</f>
        <v>0</v>
      </c>
      <c r="AB67" s="37" t="str">
        <f aca="false">IF($B67="","",IF($Y67="",0,$Y67)+IF($Z67="",0,$Z67)+IF($AA67="",0,$AA67))</f>
        <v/>
      </c>
      <c r="AC67" s="35"/>
      <c r="AD67" s="33"/>
      <c r="AE67" s="36" t="str">
        <f aca="false">IF($B67="","",IF(OR($H67="Nonconformity (process)",$S67="Yes",AND(ISNUMBER($W67),$W67&gt;=Settings!$C$20)),"YES – required","No"))</f>
        <v/>
      </c>
      <c r="AF67" s="33"/>
      <c r="AG67" s="33"/>
      <c r="AH67" s="32"/>
      <c r="AI67" s="33"/>
      <c r="AJ67" s="32"/>
      <c r="AK67" s="31" t="str">
        <f aca="false">IF(OR($B67="",$AJ67=""),"",$AJ67-$B67)</f>
        <v/>
      </c>
      <c r="AL67" s="31" t="str">
        <f aca="false">IF($X67="","",INDEX(Settings!$C$15:$C$17,MATCH($X67,Settings!$B$15:$B$17,0)))</f>
        <v/>
      </c>
      <c r="AM67" s="36" t="str">
        <f aca="true">IF($B67="","",IF($AH67="","No due date",IF($AI67="Closed",IF($AJ67="","Missing close date",IF($AJ67&lt;=$AH67,"On time","Late")),IF(TODAY()&gt;$AH67,"OVERDUE","In progress"))))</f>
        <v/>
      </c>
      <c r="AN67" s="35"/>
    </row>
    <row r="68" customFormat="false" ht="27.75" hidden="false" customHeight="true" outlineLevel="0" collapsed="false">
      <c r="A68" s="31" t="str">
        <f aca="false">IF($B68="","",ROW()-4)</f>
        <v/>
      </c>
      <c r="B68" s="32"/>
      <c r="C68" s="32"/>
      <c r="D68" s="33"/>
      <c r="E68" s="33"/>
      <c r="F68" s="33"/>
      <c r="G68" s="34"/>
      <c r="H68" s="33"/>
      <c r="I68" s="33"/>
      <c r="J68" s="33"/>
      <c r="K68" s="33"/>
      <c r="L68" s="35"/>
      <c r="M68" s="33"/>
      <c r="N68" s="33"/>
      <c r="O68" s="33"/>
      <c r="P68" s="33"/>
      <c r="Q68" s="35"/>
      <c r="R68" s="33"/>
      <c r="S68" s="33"/>
      <c r="T68" s="33"/>
      <c r="U68" s="33"/>
      <c r="V68" s="33"/>
      <c r="W68" s="31" t="str">
        <f aca="false">IF(OR($T68="",$U68="",$V68=""),"",$T68*$U68*$V68)</f>
        <v/>
      </c>
      <c r="X68" s="36" t="str">
        <f aca="false">IF($W68="","",IF($T68=5,"High",IF($W68&gt;=Settings!$C$20,"High",IF(OR($W68&gt;=Settings!$C$21,$T68=4),"Medium","Low"))))</f>
        <v/>
      </c>
      <c r="Y68" s="34"/>
      <c r="Z68" s="37" t="str">
        <f aca="false">IF($O68="","",$O68*Settings!$C$5)</f>
        <v/>
      </c>
      <c r="AA68" s="37" t="n">
        <f aca="false">IF(OR($H68&lt;&gt;"Complaint",$P68&lt;&gt;"Upheld",$T68=""),0,IF($G68="",Settings!$C$6,$G68)*INDEX(Settings!$C$8:$C$12,6-$T68))</f>
        <v>0</v>
      </c>
      <c r="AB68" s="37" t="str">
        <f aca="false">IF($B68="","",IF($Y68="",0,$Y68)+IF($Z68="",0,$Z68)+IF($AA68="",0,$AA68))</f>
        <v/>
      </c>
      <c r="AC68" s="35"/>
      <c r="AD68" s="33"/>
      <c r="AE68" s="36" t="str">
        <f aca="false">IF($B68="","",IF(OR($H68="Nonconformity (process)",$S68="Yes",AND(ISNUMBER($W68),$W68&gt;=Settings!$C$20)),"YES – required","No"))</f>
        <v/>
      </c>
      <c r="AF68" s="33"/>
      <c r="AG68" s="33"/>
      <c r="AH68" s="32"/>
      <c r="AI68" s="33"/>
      <c r="AJ68" s="32"/>
      <c r="AK68" s="31" t="str">
        <f aca="false">IF(OR($B68="",$AJ68=""),"",$AJ68-$B68)</f>
        <v/>
      </c>
      <c r="AL68" s="31" t="str">
        <f aca="false">IF($X68="","",INDEX(Settings!$C$15:$C$17,MATCH($X68,Settings!$B$15:$B$17,0)))</f>
        <v/>
      </c>
      <c r="AM68" s="36" t="str">
        <f aca="true">IF($B68="","",IF($AH68="","No due date",IF($AI68="Closed",IF($AJ68="","Missing close date",IF($AJ68&lt;=$AH68,"On time","Late")),IF(TODAY()&gt;$AH68,"OVERDUE","In progress"))))</f>
        <v/>
      </c>
      <c r="AN68" s="35"/>
    </row>
    <row r="69" customFormat="false" ht="27.75" hidden="false" customHeight="true" outlineLevel="0" collapsed="false">
      <c r="A69" s="31" t="str">
        <f aca="false">IF($B69="","",ROW()-4)</f>
        <v/>
      </c>
      <c r="B69" s="32"/>
      <c r="C69" s="32"/>
      <c r="D69" s="33"/>
      <c r="E69" s="33"/>
      <c r="F69" s="33"/>
      <c r="G69" s="34"/>
      <c r="H69" s="33"/>
      <c r="I69" s="33"/>
      <c r="J69" s="33"/>
      <c r="K69" s="33"/>
      <c r="L69" s="35"/>
      <c r="M69" s="33"/>
      <c r="N69" s="33"/>
      <c r="O69" s="33"/>
      <c r="P69" s="33"/>
      <c r="Q69" s="35"/>
      <c r="R69" s="33"/>
      <c r="S69" s="33"/>
      <c r="T69" s="33"/>
      <c r="U69" s="33"/>
      <c r="V69" s="33"/>
      <c r="W69" s="31" t="str">
        <f aca="false">IF(OR($T69="",$U69="",$V69=""),"",$T69*$U69*$V69)</f>
        <v/>
      </c>
      <c r="X69" s="36" t="str">
        <f aca="false">IF($W69="","",IF($T69=5,"High",IF($W69&gt;=Settings!$C$20,"High",IF(OR($W69&gt;=Settings!$C$21,$T69=4),"Medium","Low"))))</f>
        <v/>
      </c>
      <c r="Y69" s="34"/>
      <c r="Z69" s="37" t="str">
        <f aca="false">IF($O69="","",$O69*Settings!$C$5)</f>
        <v/>
      </c>
      <c r="AA69" s="37" t="n">
        <f aca="false">IF(OR($H69&lt;&gt;"Complaint",$P69&lt;&gt;"Upheld",$T69=""),0,IF($G69="",Settings!$C$6,$G69)*INDEX(Settings!$C$8:$C$12,6-$T69))</f>
        <v>0</v>
      </c>
      <c r="AB69" s="37" t="str">
        <f aca="false">IF($B69="","",IF($Y69="",0,$Y69)+IF($Z69="",0,$Z69)+IF($AA69="",0,$AA69))</f>
        <v/>
      </c>
      <c r="AC69" s="35"/>
      <c r="AD69" s="33"/>
      <c r="AE69" s="36" t="str">
        <f aca="false">IF($B69="","",IF(OR($H69="Nonconformity (process)",$S69="Yes",AND(ISNUMBER($W69),$W69&gt;=Settings!$C$20)),"YES – required","No"))</f>
        <v/>
      </c>
      <c r="AF69" s="33"/>
      <c r="AG69" s="33"/>
      <c r="AH69" s="32"/>
      <c r="AI69" s="33"/>
      <c r="AJ69" s="32"/>
      <c r="AK69" s="31" t="str">
        <f aca="false">IF(OR($B69="",$AJ69=""),"",$AJ69-$B69)</f>
        <v/>
      </c>
      <c r="AL69" s="31" t="str">
        <f aca="false">IF($X69="","",INDEX(Settings!$C$15:$C$17,MATCH($X69,Settings!$B$15:$B$17,0)))</f>
        <v/>
      </c>
      <c r="AM69" s="36" t="str">
        <f aca="true">IF($B69="","",IF($AH69="","No due date",IF($AI69="Closed",IF($AJ69="","Missing close date",IF($AJ69&lt;=$AH69,"On time","Late")),IF(TODAY()&gt;$AH69,"OVERDUE","In progress"))))</f>
        <v/>
      </c>
      <c r="AN69" s="35"/>
    </row>
    <row r="70" customFormat="false" ht="27.75" hidden="false" customHeight="true" outlineLevel="0" collapsed="false">
      <c r="A70" s="31" t="str">
        <f aca="false">IF($B70="","",ROW()-4)</f>
        <v/>
      </c>
      <c r="B70" s="32"/>
      <c r="C70" s="32"/>
      <c r="D70" s="33"/>
      <c r="E70" s="33"/>
      <c r="F70" s="33"/>
      <c r="G70" s="34"/>
      <c r="H70" s="33"/>
      <c r="I70" s="33"/>
      <c r="J70" s="33"/>
      <c r="K70" s="33"/>
      <c r="L70" s="35"/>
      <c r="M70" s="33"/>
      <c r="N70" s="33"/>
      <c r="O70" s="33"/>
      <c r="P70" s="33"/>
      <c r="Q70" s="35"/>
      <c r="R70" s="33"/>
      <c r="S70" s="33"/>
      <c r="T70" s="33"/>
      <c r="U70" s="33"/>
      <c r="V70" s="33"/>
      <c r="W70" s="31" t="str">
        <f aca="false">IF(OR($T70="",$U70="",$V70=""),"",$T70*$U70*$V70)</f>
        <v/>
      </c>
      <c r="X70" s="36" t="str">
        <f aca="false">IF($W70="","",IF($T70=5,"High",IF($W70&gt;=Settings!$C$20,"High",IF(OR($W70&gt;=Settings!$C$21,$T70=4),"Medium","Low"))))</f>
        <v/>
      </c>
      <c r="Y70" s="34"/>
      <c r="Z70" s="37" t="str">
        <f aca="false">IF($O70="","",$O70*Settings!$C$5)</f>
        <v/>
      </c>
      <c r="AA70" s="37" t="n">
        <f aca="false">IF(OR($H70&lt;&gt;"Complaint",$P70&lt;&gt;"Upheld",$T70=""),0,IF($G70="",Settings!$C$6,$G70)*INDEX(Settings!$C$8:$C$12,6-$T70))</f>
        <v>0</v>
      </c>
      <c r="AB70" s="37" t="str">
        <f aca="false">IF($B70="","",IF($Y70="",0,$Y70)+IF($Z70="",0,$Z70)+IF($AA70="",0,$AA70))</f>
        <v/>
      </c>
      <c r="AC70" s="35"/>
      <c r="AD70" s="33"/>
      <c r="AE70" s="36" t="str">
        <f aca="false">IF($B70="","",IF(OR($H70="Nonconformity (process)",$S70="Yes",AND(ISNUMBER($W70),$W70&gt;=Settings!$C$20)),"YES – required","No"))</f>
        <v/>
      </c>
      <c r="AF70" s="33"/>
      <c r="AG70" s="33"/>
      <c r="AH70" s="32"/>
      <c r="AI70" s="33"/>
      <c r="AJ70" s="32"/>
      <c r="AK70" s="31" t="str">
        <f aca="false">IF(OR($B70="",$AJ70=""),"",$AJ70-$B70)</f>
        <v/>
      </c>
      <c r="AL70" s="31" t="str">
        <f aca="false">IF($X70="","",INDEX(Settings!$C$15:$C$17,MATCH($X70,Settings!$B$15:$B$17,0)))</f>
        <v/>
      </c>
      <c r="AM70" s="36" t="str">
        <f aca="true">IF($B70="","",IF($AH70="","No due date",IF($AI70="Closed",IF($AJ70="","Missing close date",IF($AJ70&lt;=$AH70,"On time","Late")),IF(TODAY()&gt;$AH70,"OVERDUE","In progress"))))</f>
        <v/>
      </c>
      <c r="AN70" s="35"/>
    </row>
    <row r="71" customFormat="false" ht="27.75" hidden="false" customHeight="true" outlineLevel="0" collapsed="false">
      <c r="A71" s="31" t="str">
        <f aca="false">IF($B71="","",ROW()-4)</f>
        <v/>
      </c>
      <c r="B71" s="32"/>
      <c r="C71" s="32"/>
      <c r="D71" s="33"/>
      <c r="E71" s="33"/>
      <c r="F71" s="33"/>
      <c r="G71" s="34"/>
      <c r="H71" s="33"/>
      <c r="I71" s="33"/>
      <c r="J71" s="33"/>
      <c r="K71" s="33"/>
      <c r="L71" s="35"/>
      <c r="M71" s="33"/>
      <c r="N71" s="33"/>
      <c r="O71" s="33"/>
      <c r="P71" s="33"/>
      <c r="Q71" s="35"/>
      <c r="R71" s="33"/>
      <c r="S71" s="33"/>
      <c r="T71" s="33"/>
      <c r="U71" s="33"/>
      <c r="V71" s="33"/>
      <c r="W71" s="31" t="str">
        <f aca="false">IF(OR($T71="",$U71="",$V71=""),"",$T71*$U71*$V71)</f>
        <v/>
      </c>
      <c r="X71" s="36" t="str">
        <f aca="false">IF($W71="","",IF($T71=5,"High",IF($W71&gt;=Settings!$C$20,"High",IF(OR($W71&gt;=Settings!$C$21,$T71=4),"Medium","Low"))))</f>
        <v/>
      </c>
      <c r="Y71" s="34"/>
      <c r="Z71" s="37" t="str">
        <f aca="false">IF($O71="","",$O71*Settings!$C$5)</f>
        <v/>
      </c>
      <c r="AA71" s="37" t="n">
        <f aca="false">IF(OR($H71&lt;&gt;"Complaint",$P71&lt;&gt;"Upheld",$T71=""),0,IF($G71="",Settings!$C$6,$G71)*INDEX(Settings!$C$8:$C$12,6-$T71))</f>
        <v>0</v>
      </c>
      <c r="AB71" s="37" t="str">
        <f aca="false">IF($B71="","",IF($Y71="",0,$Y71)+IF($Z71="",0,$Z71)+IF($AA71="",0,$AA71))</f>
        <v/>
      </c>
      <c r="AC71" s="35"/>
      <c r="AD71" s="33"/>
      <c r="AE71" s="36" t="str">
        <f aca="false">IF($B71="","",IF(OR($H71="Nonconformity (process)",$S71="Yes",AND(ISNUMBER($W71),$W71&gt;=Settings!$C$20)),"YES – required","No"))</f>
        <v/>
      </c>
      <c r="AF71" s="33"/>
      <c r="AG71" s="33"/>
      <c r="AH71" s="32"/>
      <c r="AI71" s="33"/>
      <c r="AJ71" s="32"/>
      <c r="AK71" s="31" t="str">
        <f aca="false">IF(OR($B71="",$AJ71=""),"",$AJ71-$B71)</f>
        <v/>
      </c>
      <c r="AL71" s="31" t="str">
        <f aca="false">IF($X71="","",INDEX(Settings!$C$15:$C$17,MATCH($X71,Settings!$B$15:$B$17,0)))</f>
        <v/>
      </c>
      <c r="AM71" s="36" t="str">
        <f aca="true">IF($B71="","",IF($AH71="","No due date",IF($AI71="Closed",IF($AJ71="","Missing close date",IF($AJ71&lt;=$AH71,"On time","Late")),IF(TODAY()&gt;$AH71,"OVERDUE","In progress"))))</f>
        <v/>
      </c>
      <c r="AN71" s="35"/>
    </row>
    <row r="72" customFormat="false" ht="27.75" hidden="false" customHeight="true" outlineLevel="0" collapsed="false">
      <c r="A72" s="31" t="str">
        <f aca="false">IF($B72="","",ROW()-4)</f>
        <v/>
      </c>
      <c r="B72" s="32"/>
      <c r="C72" s="32"/>
      <c r="D72" s="33"/>
      <c r="E72" s="33"/>
      <c r="F72" s="33"/>
      <c r="G72" s="34"/>
      <c r="H72" s="33"/>
      <c r="I72" s="33"/>
      <c r="J72" s="33"/>
      <c r="K72" s="33"/>
      <c r="L72" s="35"/>
      <c r="M72" s="33"/>
      <c r="N72" s="33"/>
      <c r="O72" s="33"/>
      <c r="P72" s="33"/>
      <c r="Q72" s="35"/>
      <c r="R72" s="33"/>
      <c r="S72" s="33"/>
      <c r="T72" s="33"/>
      <c r="U72" s="33"/>
      <c r="V72" s="33"/>
      <c r="W72" s="31" t="str">
        <f aca="false">IF(OR($T72="",$U72="",$V72=""),"",$T72*$U72*$V72)</f>
        <v/>
      </c>
      <c r="X72" s="36" t="str">
        <f aca="false">IF($W72="","",IF($T72=5,"High",IF($W72&gt;=Settings!$C$20,"High",IF(OR($W72&gt;=Settings!$C$21,$T72=4),"Medium","Low"))))</f>
        <v/>
      </c>
      <c r="Y72" s="34"/>
      <c r="Z72" s="37" t="str">
        <f aca="false">IF($O72="","",$O72*Settings!$C$5)</f>
        <v/>
      </c>
      <c r="AA72" s="37" t="n">
        <f aca="false">IF(OR($H72&lt;&gt;"Complaint",$P72&lt;&gt;"Upheld",$T72=""),0,IF($G72="",Settings!$C$6,$G72)*INDEX(Settings!$C$8:$C$12,6-$T72))</f>
        <v>0</v>
      </c>
      <c r="AB72" s="37" t="str">
        <f aca="false">IF($B72="","",IF($Y72="",0,$Y72)+IF($Z72="",0,$Z72)+IF($AA72="",0,$AA72))</f>
        <v/>
      </c>
      <c r="AC72" s="35"/>
      <c r="AD72" s="33"/>
      <c r="AE72" s="36" t="str">
        <f aca="false">IF($B72="","",IF(OR($H72="Nonconformity (process)",$S72="Yes",AND(ISNUMBER($W72),$W72&gt;=Settings!$C$20)),"YES – required","No"))</f>
        <v/>
      </c>
      <c r="AF72" s="33"/>
      <c r="AG72" s="33"/>
      <c r="AH72" s="32"/>
      <c r="AI72" s="33"/>
      <c r="AJ72" s="32"/>
      <c r="AK72" s="31" t="str">
        <f aca="false">IF(OR($B72="",$AJ72=""),"",$AJ72-$B72)</f>
        <v/>
      </c>
      <c r="AL72" s="31" t="str">
        <f aca="false">IF($X72="","",INDEX(Settings!$C$15:$C$17,MATCH($X72,Settings!$B$15:$B$17,0)))</f>
        <v/>
      </c>
      <c r="AM72" s="36" t="str">
        <f aca="true">IF($B72="","",IF($AH72="","No due date",IF($AI72="Closed",IF($AJ72="","Missing close date",IF($AJ72&lt;=$AH72,"On time","Late")),IF(TODAY()&gt;$AH72,"OVERDUE","In progress"))))</f>
        <v/>
      </c>
      <c r="AN72" s="35"/>
    </row>
    <row r="73" customFormat="false" ht="27.75" hidden="false" customHeight="true" outlineLevel="0" collapsed="false">
      <c r="A73" s="31" t="str">
        <f aca="false">IF($B73="","",ROW()-4)</f>
        <v/>
      </c>
      <c r="B73" s="32"/>
      <c r="C73" s="32"/>
      <c r="D73" s="33"/>
      <c r="E73" s="33"/>
      <c r="F73" s="33"/>
      <c r="G73" s="34"/>
      <c r="H73" s="33"/>
      <c r="I73" s="33"/>
      <c r="J73" s="33"/>
      <c r="K73" s="33"/>
      <c r="L73" s="35"/>
      <c r="M73" s="33"/>
      <c r="N73" s="33"/>
      <c r="O73" s="33"/>
      <c r="P73" s="33"/>
      <c r="Q73" s="35"/>
      <c r="R73" s="33"/>
      <c r="S73" s="33"/>
      <c r="T73" s="33"/>
      <c r="U73" s="33"/>
      <c r="V73" s="33"/>
      <c r="W73" s="31" t="str">
        <f aca="false">IF(OR($T73="",$U73="",$V73=""),"",$T73*$U73*$V73)</f>
        <v/>
      </c>
      <c r="X73" s="36" t="str">
        <f aca="false">IF($W73="","",IF($T73=5,"High",IF($W73&gt;=Settings!$C$20,"High",IF(OR($W73&gt;=Settings!$C$21,$T73=4),"Medium","Low"))))</f>
        <v/>
      </c>
      <c r="Y73" s="34"/>
      <c r="Z73" s="37" t="str">
        <f aca="false">IF($O73="","",$O73*Settings!$C$5)</f>
        <v/>
      </c>
      <c r="AA73" s="37" t="n">
        <f aca="false">IF(OR($H73&lt;&gt;"Complaint",$P73&lt;&gt;"Upheld",$T73=""),0,IF($G73="",Settings!$C$6,$G73)*INDEX(Settings!$C$8:$C$12,6-$T73))</f>
        <v>0</v>
      </c>
      <c r="AB73" s="37" t="str">
        <f aca="false">IF($B73="","",IF($Y73="",0,$Y73)+IF($Z73="",0,$Z73)+IF($AA73="",0,$AA73))</f>
        <v/>
      </c>
      <c r="AC73" s="35"/>
      <c r="AD73" s="33"/>
      <c r="AE73" s="36" t="str">
        <f aca="false">IF($B73="","",IF(OR($H73="Nonconformity (process)",$S73="Yes",AND(ISNUMBER($W73),$W73&gt;=Settings!$C$20)),"YES – required","No"))</f>
        <v/>
      </c>
      <c r="AF73" s="33"/>
      <c r="AG73" s="33"/>
      <c r="AH73" s="32"/>
      <c r="AI73" s="33"/>
      <c r="AJ73" s="32"/>
      <c r="AK73" s="31" t="str">
        <f aca="false">IF(OR($B73="",$AJ73=""),"",$AJ73-$B73)</f>
        <v/>
      </c>
      <c r="AL73" s="31" t="str">
        <f aca="false">IF($X73="","",INDEX(Settings!$C$15:$C$17,MATCH($X73,Settings!$B$15:$B$17,0)))</f>
        <v/>
      </c>
      <c r="AM73" s="36" t="str">
        <f aca="true">IF($B73="","",IF($AH73="","No due date",IF($AI73="Closed",IF($AJ73="","Missing close date",IF($AJ73&lt;=$AH73,"On time","Late")),IF(TODAY()&gt;$AH73,"OVERDUE","In progress"))))</f>
        <v/>
      </c>
      <c r="AN73" s="35"/>
    </row>
    <row r="74" customFormat="false" ht="27.75" hidden="false" customHeight="true" outlineLevel="0" collapsed="false">
      <c r="A74" s="31" t="str">
        <f aca="false">IF($B74="","",ROW()-4)</f>
        <v/>
      </c>
      <c r="B74" s="32"/>
      <c r="C74" s="32"/>
      <c r="D74" s="33"/>
      <c r="E74" s="33"/>
      <c r="F74" s="33"/>
      <c r="G74" s="34"/>
      <c r="H74" s="33"/>
      <c r="I74" s="33"/>
      <c r="J74" s="33"/>
      <c r="K74" s="33"/>
      <c r="L74" s="35"/>
      <c r="M74" s="33"/>
      <c r="N74" s="33"/>
      <c r="O74" s="33"/>
      <c r="P74" s="33"/>
      <c r="Q74" s="35"/>
      <c r="R74" s="33"/>
      <c r="S74" s="33"/>
      <c r="T74" s="33"/>
      <c r="U74" s="33"/>
      <c r="V74" s="33"/>
      <c r="W74" s="31" t="str">
        <f aca="false">IF(OR($T74="",$U74="",$V74=""),"",$T74*$U74*$V74)</f>
        <v/>
      </c>
      <c r="X74" s="36" t="str">
        <f aca="false">IF($W74="","",IF($T74=5,"High",IF($W74&gt;=Settings!$C$20,"High",IF(OR($W74&gt;=Settings!$C$21,$T74=4),"Medium","Low"))))</f>
        <v/>
      </c>
      <c r="Y74" s="34"/>
      <c r="Z74" s="37" t="str">
        <f aca="false">IF($O74="","",$O74*Settings!$C$5)</f>
        <v/>
      </c>
      <c r="AA74" s="37" t="n">
        <f aca="false">IF(OR($H74&lt;&gt;"Complaint",$P74&lt;&gt;"Upheld",$T74=""),0,IF($G74="",Settings!$C$6,$G74)*INDEX(Settings!$C$8:$C$12,6-$T74))</f>
        <v>0</v>
      </c>
      <c r="AB74" s="37" t="str">
        <f aca="false">IF($B74="","",IF($Y74="",0,$Y74)+IF($Z74="",0,$Z74)+IF($AA74="",0,$AA74))</f>
        <v/>
      </c>
      <c r="AC74" s="35"/>
      <c r="AD74" s="33"/>
      <c r="AE74" s="36" t="str">
        <f aca="false">IF($B74="","",IF(OR($H74="Nonconformity (process)",$S74="Yes",AND(ISNUMBER($W74),$W74&gt;=Settings!$C$20)),"YES – required","No"))</f>
        <v/>
      </c>
      <c r="AF74" s="33"/>
      <c r="AG74" s="33"/>
      <c r="AH74" s="32"/>
      <c r="AI74" s="33"/>
      <c r="AJ74" s="32"/>
      <c r="AK74" s="31" t="str">
        <f aca="false">IF(OR($B74="",$AJ74=""),"",$AJ74-$B74)</f>
        <v/>
      </c>
      <c r="AL74" s="31" t="str">
        <f aca="false">IF($X74="","",INDEX(Settings!$C$15:$C$17,MATCH($X74,Settings!$B$15:$B$17,0)))</f>
        <v/>
      </c>
      <c r="AM74" s="36" t="str">
        <f aca="true">IF($B74="","",IF($AH74="","No due date",IF($AI74="Closed",IF($AJ74="","Missing close date",IF($AJ74&lt;=$AH74,"On time","Late")),IF(TODAY()&gt;$AH74,"OVERDUE","In progress"))))</f>
        <v/>
      </c>
      <c r="AN74" s="35"/>
    </row>
    <row r="75" customFormat="false" ht="27.75" hidden="false" customHeight="true" outlineLevel="0" collapsed="false">
      <c r="A75" s="31" t="str">
        <f aca="false">IF($B75="","",ROW()-4)</f>
        <v/>
      </c>
      <c r="B75" s="32"/>
      <c r="C75" s="32"/>
      <c r="D75" s="33"/>
      <c r="E75" s="33"/>
      <c r="F75" s="33"/>
      <c r="G75" s="34"/>
      <c r="H75" s="33"/>
      <c r="I75" s="33"/>
      <c r="J75" s="33"/>
      <c r="K75" s="33"/>
      <c r="L75" s="35"/>
      <c r="M75" s="33"/>
      <c r="N75" s="33"/>
      <c r="O75" s="33"/>
      <c r="P75" s="33"/>
      <c r="Q75" s="35"/>
      <c r="R75" s="33"/>
      <c r="S75" s="33"/>
      <c r="T75" s="33"/>
      <c r="U75" s="33"/>
      <c r="V75" s="33"/>
      <c r="W75" s="31" t="str">
        <f aca="false">IF(OR($T75="",$U75="",$V75=""),"",$T75*$U75*$V75)</f>
        <v/>
      </c>
      <c r="X75" s="36" t="str">
        <f aca="false">IF($W75="","",IF($T75=5,"High",IF($W75&gt;=Settings!$C$20,"High",IF(OR($W75&gt;=Settings!$C$21,$T75=4),"Medium","Low"))))</f>
        <v/>
      </c>
      <c r="Y75" s="34"/>
      <c r="Z75" s="37" t="str">
        <f aca="false">IF($O75="","",$O75*Settings!$C$5)</f>
        <v/>
      </c>
      <c r="AA75" s="37" t="n">
        <f aca="false">IF(OR($H75&lt;&gt;"Complaint",$P75&lt;&gt;"Upheld",$T75=""),0,IF($G75="",Settings!$C$6,$G75)*INDEX(Settings!$C$8:$C$12,6-$T75))</f>
        <v>0</v>
      </c>
      <c r="AB75" s="37" t="str">
        <f aca="false">IF($B75="","",IF($Y75="",0,$Y75)+IF($Z75="",0,$Z75)+IF($AA75="",0,$AA75))</f>
        <v/>
      </c>
      <c r="AC75" s="35"/>
      <c r="AD75" s="33"/>
      <c r="AE75" s="36" t="str">
        <f aca="false">IF($B75="","",IF(OR($H75="Nonconformity (process)",$S75="Yes",AND(ISNUMBER($W75),$W75&gt;=Settings!$C$20)),"YES – required","No"))</f>
        <v/>
      </c>
      <c r="AF75" s="33"/>
      <c r="AG75" s="33"/>
      <c r="AH75" s="32"/>
      <c r="AI75" s="33"/>
      <c r="AJ75" s="32"/>
      <c r="AK75" s="31" t="str">
        <f aca="false">IF(OR($B75="",$AJ75=""),"",$AJ75-$B75)</f>
        <v/>
      </c>
      <c r="AL75" s="31" t="str">
        <f aca="false">IF($X75="","",INDEX(Settings!$C$15:$C$17,MATCH($X75,Settings!$B$15:$B$17,0)))</f>
        <v/>
      </c>
      <c r="AM75" s="36" t="str">
        <f aca="true">IF($B75="","",IF($AH75="","No due date",IF($AI75="Closed",IF($AJ75="","Missing close date",IF($AJ75&lt;=$AH75,"On time","Late")),IF(TODAY()&gt;$AH75,"OVERDUE","In progress"))))</f>
        <v/>
      </c>
      <c r="AN75" s="35"/>
    </row>
    <row r="76" customFormat="false" ht="27.75" hidden="false" customHeight="true" outlineLevel="0" collapsed="false">
      <c r="A76" s="31" t="str">
        <f aca="false">IF($B76="","",ROW()-4)</f>
        <v/>
      </c>
      <c r="B76" s="32"/>
      <c r="C76" s="32"/>
      <c r="D76" s="33"/>
      <c r="E76" s="33"/>
      <c r="F76" s="33"/>
      <c r="G76" s="34"/>
      <c r="H76" s="33"/>
      <c r="I76" s="33"/>
      <c r="J76" s="33"/>
      <c r="K76" s="33"/>
      <c r="L76" s="35"/>
      <c r="M76" s="33"/>
      <c r="N76" s="33"/>
      <c r="O76" s="33"/>
      <c r="P76" s="33"/>
      <c r="Q76" s="35"/>
      <c r="R76" s="33"/>
      <c r="S76" s="33"/>
      <c r="T76" s="33"/>
      <c r="U76" s="33"/>
      <c r="V76" s="33"/>
      <c r="W76" s="31" t="str">
        <f aca="false">IF(OR($T76="",$U76="",$V76=""),"",$T76*$U76*$V76)</f>
        <v/>
      </c>
      <c r="X76" s="36" t="str">
        <f aca="false">IF($W76="","",IF($T76=5,"High",IF($W76&gt;=Settings!$C$20,"High",IF(OR($W76&gt;=Settings!$C$21,$T76=4),"Medium","Low"))))</f>
        <v/>
      </c>
      <c r="Y76" s="34"/>
      <c r="Z76" s="37" t="str">
        <f aca="false">IF($O76="","",$O76*Settings!$C$5)</f>
        <v/>
      </c>
      <c r="AA76" s="37" t="n">
        <f aca="false">IF(OR($H76&lt;&gt;"Complaint",$P76&lt;&gt;"Upheld",$T76=""),0,IF($G76="",Settings!$C$6,$G76)*INDEX(Settings!$C$8:$C$12,6-$T76))</f>
        <v>0</v>
      </c>
      <c r="AB76" s="37" t="str">
        <f aca="false">IF($B76="","",IF($Y76="",0,$Y76)+IF($Z76="",0,$Z76)+IF($AA76="",0,$AA76))</f>
        <v/>
      </c>
      <c r="AC76" s="35"/>
      <c r="AD76" s="33"/>
      <c r="AE76" s="36" t="str">
        <f aca="false">IF($B76="","",IF(OR($H76="Nonconformity (process)",$S76="Yes",AND(ISNUMBER($W76),$W76&gt;=Settings!$C$20)),"YES – required","No"))</f>
        <v/>
      </c>
      <c r="AF76" s="33"/>
      <c r="AG76" s="33"/>
      <c r="AH76" s="32"/>
      <c r="AI76" s="33"/>
      <c r="AJ76" s="32"/>
      <c r="AK76" s="31" t="str">
        <f aca="false">IF(OR($B76="",$AJ76=""),"",$AJ76-$B76)</f>
        <v/>
      </c>
      <c r="AL76" s="31" t="str">
        <f aca="false">IF($X76="","",INDEX(Settings!$C$15:$C$17,MATCH($X76,Settings!$B$15:$B$17,0)))</f>
        <v/>
      </c>
      <c r="AM76" s="36" t="str">
        <f aca="true">IF($B76="","",IF($AH76="","No due date",IF($AI76="Closed",IF($AJ76="","Missing close date",IF($AJ76&lt;=$AH76,"On time","Late")),IF(TODAY()&gt;$AH76,"OVERDUE","In progress"))))</f>
        <v/>
      </c>
      <c r="AN76" s="35"/>
    </row>
    <row r="77" customFormat="false" ht="27.75" hidden="false" customHeight="true" outlineLevel="0" collapsed="false">
      <c r="A77" s="31" t="str">
        <f aca="false">IF($B77="","",ROW()-4)</f>
        <v/>
      </c>
      <c r="B77" s="32"/>
      <c r="C77" s="32"/>
      <c r="D77" s="33"/>
      <c r="E77" s="33"/>
      <c r="F77" s="33"/>
      <c r="G77" s="34"/>
      <c r="H77" s="33"/>
      <c r="I77" s="33"/>
      <c r="J77" s="33"/>
      <c r="K77" s="33"/>
      <c r="L77" s="35"/>
      <c r="M77" s="33"/>
      <c r="N77" s="33"/>
      <c r="O77" s="33"/>
      <c r="P77" s="33"/>
      <c r="Q77" s="35"/>
      <c r="R77" s="33"/>
      <c r="S77" s="33"/>
      <c r="T77" s="33"/>
      <c r="U77" s="33"/>
      <c r="V77" s="33"/>
      <c r="W77" s="31" t="str">
        <f aca="false">IF(OR($T77="",$U77="",$V77=""),"",$T77*$U77*$V77)</f>
        <v/>
      </c>
      <c r="X77" s="36" t="str">
        <f aca="false">IF($W77="","",IF($T77=5,"High",IF($W77&gt;=Settings!$C$20,"High",IF(OR($W77&gt;=Settings!$C$21,$T77=4),"Medium","Low"))))</f>
        <v/>
      </c>
      <c r="Y77" s="34"/>
      <c r="Z77" s="37" t="str">
        <f aca="false">IF($O77="","",$O77*Settings!$C$5)</f>
        <v/>
      </c>
      <c r="AA77" s="37" t="n">
        <f aca="false">IF(OR($H77&lt;&gt;"Complaint",$P77&lt;&gt;"Upheld",$T77=""),0,IF($G77="",Settings!$C$6,$G77)*INDEX(Settings!$C$8:$C$12,6-$T77))</f>
        <v>0</v>
      </c>
      <c r="AB77" s="37" t="str">
        <f aca="false">IF($B77="","",IF($Y77="",0,$Y77)+IF($Z77="",0,$Z77)+IF($AA77="",0,$AA77))</f>
        <v/>
      </c>
      <c r="AC77" s="35"/>
      <c r="AD77" s="33"/>
      <c r="AE77" s="36" t="str">
        <f aca="false">IF($B77="","",IF(OR($H77="Nonconformity (process)",$S77="Yes",AND(ISNUMBER($W77),$W77&gt;=Settings!$C$20)),"YES – required","No"))</f>
        <v/>
      </c>
      <c r="AF77" s="33"/>
      <c r="AG77" s="33"/>
      <c r="AH77" s="32"/>
      <c r="AI77" s="33"/>
      <c r="AJ77" s="32"/>
      <c r="AK77" s="31" t="str">
        <f aca="false">IF(OR($B77="",$AJ77=""),"",$AJ77-$B77)</f>
        <v/>
      </c>
      <c r="AL77" s="31" t="str">
        <f aca="false">IF($X77="","",INDEX(Settings!$C$15:$C$17,MATCH($X77,Settings!$B$15:$B$17,0)))</f>
        <v/>
      </c>
      <c r="AM77" s="36" t="str">
        <f aca="true">IF($B77="","",IF($AH77="","No due date",IF($AI77="Closed",IF($AJ77="","Missing close date",IF($AJ77&lt;=$AH77,"On time","Late")),IF(TODAY()&gt;$AH77,"OVERDUE","In progress"))))</f>
        <v/>
      </c>
      <c r="AN77" s="35"/>
    </row>
    <row r="78" customFormat="false" ht="27.75" hidden="false" customHeight="true" outlineLevel="0" collapsed="false">
      <c r="A78" s="31" t="str">
        <f aca="false">IF($B78="","",ROW()-4)</f>
        <v/>
      </c>
      <c r="B78" s="32"/>
      <c r="C78" s="32"/>
      <c r="D78" s="33"/>
      <c r="E78" s="33"/>
      <c r="F78" s="33"/>
      <c r="G78" s="34"/>
      <c r="H78" s="33"/>
      <c r="I78" s="33"/>
      <c r="J78" s="33"/>
      <c r="K78" s="33"/>
      <c r="L78" s="35"/>
      <c r="M78" s="33"/>
      <c r="N78" s="33"/>
      <c r="O78" s="33"/>
      <c r="P78" s="33"/>
      <c r="Q78" s="35"/>
      <c r="R78" s="33"/>
      <c r="S78" s="33"/>
      <c r="T78" s="33"/>
      <c r="U78" s="33"/>
      <c r="V78" s="33"/>
      <c r="W78" s="31" t="str">
        <f aca="false">IF(OR($T78="",$U78="",$V78=""),"",$T78*$U78*$V78)</f>
        <v/>
      </c>
      <c r="X78" s="36" t="str">
        <f aca="false">IF($W78="","",IF($T78=5,"High",IF($W78&gt;=Settings!$C$20,"High",IF(OR($W78&gt;=Settings!$C$21,$T78=4),"Medium","Low"))))</f>
        <v/>
      </c>
      <c r="Y78" s="34"/>
      <c r="Z78" s="37" t="str">
        <f aca="false">IF($O78="","",$O78*Settings!$C$5)</f>
        <v/>
      </c>
      <c r="AA78" s="37" t="n">
        <f aca="false">IF(OR($H78&lt;&gt;"Complaint",$P78&lt;&gt;"Upheld",$T78=""),0,IF($G78="",Settings!$C$6,$G78)*INDEX(Settings!$C$8:$C$12,6-$T78))</f>
        <v>0</v>
      </c>
      <c r="AB78" s="37" t="str">
        <f aca="false">IF($B78="","",IF($Y78="",0,$Y78)+IF($Z78="",0,$Z78)+IF($AA78="",0,$AA78))</f>
        <v/>
      </c>
      <c r="AC78" s="35"/>
      <c r="AD78" s="33"/>
      <c r="AE78" s="36" t="str">
        <f aca="false">IF($B78="","",IF(OR($H78="Nonconformity (process)",$S78="Yes",AND(ISNUMBER($W78),$W78&gt;=Settings!$C$20)),"YES – required","No"))</f>
        <v/>
      </c>
      <c r="AF78" s="33"/>
      <c r="AG78" s="33"/>
      <c r="AH78" s="32"/>
      <c r="AI78" s="33"/>
      <c r="AJ78" s="32"/>
      <c r="AK78" s="31" t="str">
        <f aca="false">IF(OR($B78="",$AJ78=""),"",$AJ78-$B78)</f>
        <v/>
      </c>
      <c r="AL78" s="31" t="str">
        <f aca="false">IF($X78="","",INDEX(Settings!$C$15:$C$17,MATCH($X78,Settings!$B$15:$B$17,0)))</f>
        <v/>
      </c>
      <c r="AM78" s="36" t="str">
        <f aca="true">IF($B78="","",IF($AH78="","No due date",IF($AI78="Closed",IF($AJ78="","Missing close date",IF($AJ78&lt;=$AH78,"On time","Late")),IF(TODAY()&gt;$AH78,"OVERDUE","In progress"))))</f>
        <v/>
      </c>
      <c r="AN78" s="35"/>
    </row>
    <row r="79" customFormat="false" ht="27.75" hidden="false" customHeight="true" outlineLevel="0" collapsed="false">
      <c r="A79" s="31" t="str">
        <f aca="false">IF($B79="","",ROW()-4)</f>
        <v/>
      </c>
      <c r="B79" s="32"/>
      <c r="C79" s="32"/>
      <c r="D79" s="33"/>
      <c r="E79" s="33"/>
      <c r="F79" s="33"/>
      <c r="G79" s="34"/>
      <c r="H79" s="33"/>
      <c r="I79" s="33"/>
      <c r="J79" s="33"/>
      <c r="K79" s="33"/>
      <c r="L79" s="35"/>
      <c r="M79" s="33"/>
      <c r="N79" s="33"/>
      <c r="O79" s="33"/>
      <c r="P79" s="33"/>
      <c r="Q79" s="35"/>
      <c r="R79" s="33"/>
      <c r="S79" s="33"/>
      <c r="T79" s="33"/>
      <c r="U79" s="33"/>
      <c r="V79" s="33"/>
      <c r="W79" s="31" t="str">
        <f aca="false">IF(OR($T79="",$U79="",$V79=""),"",$T79*$U79*$V79)</f>
        <v/>
      </c>
      <c r="X79" s="36" t="str">
        <f aca="false">IF($W79="","",IF($T79=5,"High",IF($W79&gt;=Settings!$C$20,"High",IF(OR($W79&gt;=Settings!$C$21,$T79=4),"Medium","Low"))))</f>
        <v/>
      </c>
      <c r="Y79" s="34"/>
      <c r="Z79" s="37" t="str">
        <f aca="false">IF($O79="","",$O79*Settings!$C$5)</f>
        <v/>
      </c>
      <c r="AA79" s="37" t="n">
        <f aca="false">IF(OR($H79&lt;&gt;"Complaint",$P79&lt;&gt;"Upheld",$T79=""),0,IF($G79="",Settings!$C$6,$G79)*INDEX(Settings!$C$8:$C$12,6-$T79))</f>
        <v>0</v>
      </c>
      <c r="AB79" s="37" t="str">
        <f aca="false">IF($B79="","",IF($Y79="",0,$Y79)+IF($Z79="",0,$Z79)+IF($AA79="",0,$AA79))</f>
        <v/>
      </c>
      <c r="AC79" s="35"/>
      <c r="AD79" s="33"/>
      <c r="AE79" s="36" t="str">
        <f aca="false">IF($B79="","",IF(OR($H79="Nonconformity (process)",$S79="Yes",AND(ISNUMBER($W79),$W79&gt;=Settings!$C$20)),"YES – required","No"))</f>
        <v/>
      </c>
      <c r="AF79" s="33"/>
      <c r="AG79" s="33"/>
      <c r="AH79" s="32"/>
      <c r="AI79" s="33"/>
      <c r="AJ79" s="32"/>
      <c r="AK79" s="31" t="str">
        <f aca="false">IF(OR($B79="",$AJ79=""),"",$AJ79-$B79)</f>
        <v/>
      </c>
      <c r="AL79" s="31" t="str">
        <f aca="false">IF($X79="","",INDEX(Settings!$C$15:$C$17,MATCH($X79,Settings!$B$15:$B$17,0)))</f>
        <v/>
      </c>
      <c r="AM79" s="36" t="str">
        <f aca="true">IF($B79="","",IF($AH79="","No due date",IF($AI79="Closed",IF($AJ79="","Missing close date",IF($AJ79&lt;=$AH79,"On time","Late")),IF(TODAY()&gt;$AH79,"OVERDUE","In progress"))))</f>
        <v/>
      </c>
      <c r="AN79" s="35"/>
    </row>
    <row r="80" customFormat="false" ht="27.75" hidden="false" customHeight="true" outlineLevel="0" collapsed="false">
      <c r="A80" s="31" t="str">
        <f aca="false">IF($B80="","",ROW()-4)</f>
        <v/>
      </c>
      <c r="B80" s="32"/>
      <c r="C80" s="32"/>
      <c r="D80" s="33"/>
      <c r="E80" s="33"/>
      <c r="F80" s="33"/>
      <c r="G80" s="34"/>
      <c r="H80" s="33"/>
      <c r="I80" s="33"/>
      <c r="J80" s="33"/>
      <c r="K80" s="33"/>
      <c r="L80" s="35"/>
      <c r="M80" s="33"/>
      <c r="N80" s="33"/>
      <c r="O80" s="33"/>
      <c r="P80" s="33"/>
      <c r="Q80" s="35"/>
      <c r="R80" s="33"/>
      <c r="S80" s="33"/>
      <c r="T80" s="33"/>
      <c r="U80" s="33"/>
      <c r="V80" s="33"/>
      <c r="W80" s="31" t="str">
        <f aca="false">IF(OR($T80="",$U80="",$V80=""),"",$T80*$U80*$V80)</f>
        <v/>
      </c>
      <c r="X80" s="36" t="str">
        <f aca="false">IF($W80="","",IF($T80=5,"High",IF($W80&gt;=Settings!$C$20,"High",IF(OR($W80&gt;=Settings!$C$21,$T80=4),"Medium","Low"))))</f>
        <v/>
      </c>
      <c r="Y80" s="34"/>
      <c r="Z80" s="37" t="str">
        <f aca="false">IF($O80="","",$O80*Settings!$C$5)</f>
        <v/>
      </c>
      <c r="AA80" s="37" t="n">
        <f aca="false">IF(OR($H80&lt;&gt;"Complaint",$P80&lt;&gt;"Upheld",$T80=""),0,IF($G80="",Settings!$C$6,$G80)*INDEX(Settings!$C$8:$C$12,6-$T80))</f>
        <v>0</v>
      </c>
      <c r="AB80" s="37" t="str">
        <f aca="false">IF($B80="","",IF($Y80="",0,$Y80)+IF($Z80="",0,$Z80)+IF($AA80="",0,$AA80))</f>
        <v/>
      </c>
      <c r="AC80" s="35"/>
      <c r="AD80" s="33"/>
      <c r="AE80" s="36" t="str">
        <f aca="false">IF($B80="","",IF(OR($H80="Nonconformity (process)",$S80="Yes",AND(ISNUMBER($W80),$W80&gt;=Settings!$C$20)),"YES – required","No"))</f>
        <v/>
      </c>
      <c r="AF80" s="33"/>
      <c r="AG80" s="33"/>
      <c r="AH80" s="32"/>
      <c r="AI80" s="33"/>
      <c r="AJ80" s="32"/>
      <c r="AK80" s="31" t="str">
        <f aca="false">IF(OR($B80="",$AJ80=""),"",$AJ80-$B80)</f>
        <v/>
      </c>
      <c r="AL80" s="31" t="str">
        <f aca="false">IF($X80="","",INDEX(Settings!$C$15:$C$17,MATCH($X80,Settings!$B$15:$B$17,0)))</f>
        <v/>
      </c>
      <c r="AM80" s="36" t="str">
        <f aca="true">IF($B80="","",IF($AH80="","No due date",IF($AI80="Closed",IF($AJ80="","Missing close date",IF($AJ80&lt;=$AH80,"On time","Late")),IF(TODAY()&gt;$AH80,"OVERDUE","In progress"))))</f>
        <v/>
      </c>
      <c r="AN80" s="35"/>
    </row>
    <row r="81" customFormat="false" ht="27.75" hidden="false" customHeight="true" outlineLevel="0" collapsed="false">
      <c r="A81" s="31" t="str">
        <f aca="false">IF($B81="","",ROW()-4)</f>
        <v/>
      </c>
      <c r="B81" s="32"/>
      <c r="C81" s="32"/>
      <c r="D81" s="33"/>
      <c r="E81" s="33"/>
      <c r="F81" s="33"/>
      <c r="G81" s="34"/>
      <c r="H81" s="33"/>
      <c r="I81" s="33"/>
      <c r="J81" s="33"/>
      <c r="K81" s="33"/>
      <c r="L81" s="35"/>
      <c r="M81" s="33"/>
      <c r="N81" s="33"/>
      <c r="O81" s="33"/>
      <c r="P81" s="33"/>
      <c r="Q81" s="35"/>
      <c r="R81" s="33"/>
      <c r="S81" s="33"/>
      <c r="T81" s="33"/>
      <c r="U81" s="33"/>
      <c r="V81" s="33"/>
      <c r="W81" s="31" t="str">
        <f aca="false">IF(OR($T81="",$U81="",$V81=""),"",$T81*$U81*$V81)</f>
        <v/>
      </c>
      <c r="X81" s="36" t="str">
        <f aca="false">IF($W81="","",IF($T81=5,"High",IF($W81&gt;=Settings!$C$20,"High",IF(OR($W81&gt;=Settings!$C$21,$T81=4),"Medium","Low"))))</f>
        <v/>
      </c>
      <c r="Y81" s="34"/>
      <c r="Z81" s="37" t="str">
        <f aca="false">IF($O81="","",$O81*Settings!$C$5)</f>
        <v/>
      </c>
      <c r="AA81" s="37" t="n">
        <f aca="false">IF(OR($H81&lt;&gt;"Complaint",$P81&lt;&gt;"Upheld",$T81=""),0,IF($G81="",Settings!$C$6,$G81)*INDEX(Settings!$C$8:$C$12,6-$T81))</f>
        <v>0</v>
      </c>
      <c r="AB81" s="37" t="str">
        <f aca="false">IF($B81="","",IF($Y81="",0,$Y81)+IF($Z81="",0,$Z81)+IF($AA81="",0,$AA81))</f>
        <v/>
      </c>
      <c r="AC81" s="35"/>
      <c r="AD81" s="33"/>
      <c r="AE81" s="36" t="str">
        <f aca="false">IF($B81="","",IF(OR($H81="Nonconformity (process)",$S81="Yes",AND(ISNUMBER($W81),$W81&gt;=Settings!$C$20)),"YES – required","No"))</f>
        <v/>
      </c>
      <c r="AF81" s="33"/>
      <c r="AG81" s="33"/>
      <c r="AH81" s="32"/>
      <c r="AI81" s="33"/>
      <c r="AJ81" s="32"/>
      <c r="AK81" s="31" t="str">
        <f aca="false">IF(OR($B81="",$AJ81=""),"",$AJ81-$B81)</f>
        <v/>
      </c>
      <c r="AL81" s="31" t="str">
        <f aca="false">IF($X81="","",INDEX(Settings!$C$15:$C$17,MATCH($X81,Settings!$B$15:$B$17,0)))</f>
        <v/>
      </c>
      <c r="AM81" s="36" t="str">
        <f aca="true">IF($B81="","",IF($AH81="","No due date",IF($AI81="Closed",IF($AJ81="","Missing close date",IF($AJ81&lt;=$AH81,"On time","Late")),IF(TODAY()&gt;$AH81,"OVERDUE","In progress"))))</f>
        <v/>
      </c>
      <c r="AN81" s="35"/>
    </row>
    <row r="82" customFormat="false" ht="27.75" hidden="false" customHeight="true" outlineLevel="0" collapsed="false">
      <c r="A82" s="31" t="str">
        <f aca="false">IF($B82="","",ROW()-4)</f>
        <v/>
      </c>
      <c r="B82" s="32"/>
      <c r="C82" s="32"/>
      <c r="D82" s="33"/>
      <c r="E82" s="33"/>
      <c r="F82" s="33"/>
      <c r="G82" s="34"/>
      <c r="H82" s="33"/>
      <c r="I82" s="33"/>
      <c r="J82" s="33"/>
      <c r="K82" s="33"/>
      <c r="L82" s="35"/>
      <c r="M82" s="33"/>
      <c r="N82" s="33"/>
      <c r="O82" s="33"/>
      <c r="P82" s="33"/>
      <c r="Q82" s="35"/>
      <c r="R82" s="33"/>
      <c r="S82" s="33"/>
      <c r="T82" s="33"/>
      <c r="U82" s="33"/>
      <c r="V82" s="33"/>
      <c r="W82" s="31" t="str">
        <f aca="false">IF(OR($T82="",$U82="",$V82=""),"",$T82*$U82*$V82)</f>
        <v/>
      </c>
      <c r="X82" s="36" t="str">
        <f aca="false">IF($W82="","",IF($T82=5,"High",IF($W82&gt;=Settings!$C$20,"High",IF(OR($W82&gt;=Settings!$C$21,$T82=4),"Medium","Low"))))</f>
        <v/>
      </c>
      <c r="Y82" s="34"/>
      <c r="Z82" s="37" t="str">
        <f aca="false">IF($O82="","",$O82*Settings!$C$5)</f>
        <v/>
      </c>
      <c r="AA82" s="37" t="n">
        <f aca="false">IF(OR($H82&lt;&gt;"Complaint",$P82&lt;&gt;"Upheld",$T82=""),0,IF($G82="",Settings!$C$6,$G82)*INDEX(Settings!$C$8:$C$12,6-$T82))</f>
        <v>0</v>
      </c>
      <c r="AB82" s="37" t="str">
        <f aca="false">IF($B82="","",IF($Y82="",0,$Y82)+IF($Z82="",0,$Z82)+IF($AA82="",0,$AA82))</f>
        <v/>
      </c>
      <c r="AC82" s="35"/>
      <c r="AD82" s="33"/>
      <c r="AE82" s="36" t="str">
        <f aca="false">IF($B82="","",IF(OR($H82="Nonconformity (process)",$S82="Yes",AND(ISNUMBER($W82),$W82&gt;=Settings!$C$20)),"YES – required","No"))</f>
        <v/>
      </c>
      <c r="AF82" s="33"/>
      <c r="AG82" s="33"/>
      <c r="AH82" s="32"/>
      <c r="AI82" s="33"/>
      <c r="AJ82" s="32"/>
      <c r="AK82" s="31" t="str">
        <f aca="false">IF(OR($B82="",$AJ82=""),"",$AJ82-$B82)</f>
        <v/>
      </c>
      <c r="AL82" s="31" t="str">
        <f aca="false">IF($X82="","",INDEX(Settings!$C$15:$C$17,MATCH($X82,Settings!$B$15:$B$17,0)))</f>
        <v/>
      </c>
      <c r="AM82" s="36" t="str">
        <f aca="true">IF($B82="","",IF($AH82="","No due date",IF($AI82="Closed",IF($AJ82="","Missing close date",IF($AJ82&lt;=$AH82,"On time","Late")),IF(TODAY()&gt;$AH82,"OVERDUE","In progress"))))</f>
        <v/>
      </c>
      <c r="AN82" s="35"/>
    </row>
    <row r="83" customFormat="false" ht="27.75" hidden="false" customHeight="true" outlineLevel="0" collapsed="false">
      <c r="A83" s="31" t="str">
        <f aca="false">IF($B83="","",ROW()-4)</f>
        <v/>
      </c>
      <c r="B83" s="32"/>
      <c r="C83" s="32"/>
      <c r="D83" s="33"/>
      <c r="E83" s="33"/>
      <c r="F83" s="33"/>
      <c r="G83" s="34"/>
      <c r="H83" s="33"/>
      <c r="I83" s="33"/>
      <c r="J83" s="33"/>
      <c r="K83" s="33"/>
      <c r="L83" s="35"/>
      <c r="M83" s="33"/>
      <c r="N83" s="33"/>
      <c r="O83" s="33"/>
      <c r="P83" s="33"/>
      <c r="Q83" s="35"/>
      <c r="R83" s="33"/>
      <c r="S83" s="33"/>
      <c r="T83" s="33"/>
      <c r="U83" s="33"/>
      <c r="V83" s="33"/>
      <c r="W83" s="31" t="str">
        <f aca="false">IF(OR($T83="",$U83="",$V83=""),"",$T83*$U83*$V83)</f>
        <v/>
      </c>
      <c r="X83" s="36" t="str">
        <f aca="false">IF($W83="","",IF($T83=5,"High",IF($W83&gt;=Settings!$C$20,"High",IF(OR($W83&gt;=Settings!$C$21,$T83=4),"Medium","Low"))))</f>
        <v/>
      </c>
      <c r="Y83" s="34"/>
      <c r="Z83" s="37" t="str">
        <f aca="false">IF($O83="","",$O83*Settings!$C$5)</f>
        <v/>
      </c>
      <c r="AA83" s="37" t="n">
        <f aca="false">IF(OR($H83&lt;&gt;"Complaint",$P83&lt;&gt;"Upheld",$T83=""),0,IF($G83="",Settings!$C$6,$G83)*INDEX(Settings!$C$8:$C$12,6-$T83))</f>
        <v>0</v>
      </c>
      <c r="AB83" s="37" t="str">
        <f aca="false">IF($B83="","",IF($Y83="",0,$Y83)+IF($Z83="",0,$Z83)+IF($AA83="",0,$AA83))</f>
        <v/>
      </c>
      <c r="AC83" s="35"/>
      <c r="AD83" s="33"/>
      <c r="AE83" s="36" t="str">
        <f aca="false">IF($B83="","",IF(OR($H83="Nonconformity (process)",$S83="Yes",AND(ISNUMBER($W83),$W83&gt;=Settings!$C$20)),"YES – required","No"))</f>
        <v/>
      </c>
      <c r="AF83" s="33"/>
      <c r="AG83" s="33"/>
      <c r="AH83" s="32"/>
      <c r="AI83" s="33"/>
      <c r="AJ83" s="32"/>
      <c r="AK83" s="31" t="str">
        <f aca="false">IF(OR($B83="",$AJ83=""),"",$AJ83-$B83)</f>
        <v/>
      </c>
      <c r="AL83" s="31" t="str">
        <f aca="false">IF($X83="","",INDEX(Settings!$C$15:$C$17,MATCH($X83,Settings!$B$15:$B$17,0)))</f>
        <v/>
      </c>
      <c r="AM83" s="36" t="str">
        <f aca="true">IF($B83="","",IF($AH83="","No due date",IF($AI83="Closed",IF($AJ83="","Missing close date",IF($AJ83&lt;=$AH83,"On time","Late")),IF(TODAY()&gt;$AH83,"OVERDUE","In progress"))))</f>
        <v/>
      </c>
      <c r="AN83" s="35"/>
    </row>
    <row r="84" customFormat="false" ht="27.75" hidden="false" customHeight="true" outlineLevel="0" collapsed="false">
      <c r="A84" s="31" t="str">
        <f aca="false">IF($B84="","",ROW()-4)</f>
        <v/>
      </c>
      <c r="B84" s="32"/>
      <c r="C84" s="32"/>
      <c r="D84" s="33"/>
      <c r="E84" s="33"/>
      <c r="F84" s="33"/>
      <c r="G84" s="34"/>
      <c r="H84" s="33"/>
      <c r="I84" s="33"/>
      <c r="J84" s="33"/>
      <c r="K84" s="33"/>
      <c r="L84" s="35"/>
      <c r="M84" s="33"/>
      <c r="N84" s="33"/>
      <c r="O84" s="33"/>
      <c r="P84" s="33"/>
      <c r="Q84" s="35"/>
      <c r="R84" s="33"/>
      <c r="S84" s="33"/>
      <c r="T84" s="33"/>
      <c r="U84" s="33"/>
      <c r="V84" s="33"/>
      <c r="W84" s="31" t="str">
        <f aca="false">IF(OR($T84="",$U84="",$V84=""),"",$T84*$U84*$V84)</f>
        <v/>
      </c>
      <c r="X84" s="36" t="str">
        <f aca="false">IF($W84="","",IF($T84=5,"High",IF($W84&gt;=Settings!$C$20,"High",IF(OR($W84&gt;=Settings!$C$21,$T84=4),"Medium","Low"))))</f>
        <v/>
      </c>
      <c r="Y84" s="34"/>
      <c r="Z84" s="37" t="str">
        <f aca="false">IF($O84="","",$O84*Settings!$C$5)</f>
        <v/>
      </c>
      <c r="AA84" s="37" t="n">
        <f aca="false">IF(OR($H84&lt;&gt;"Complaint",$P84&lt;&gt;"Upheld",$T84=""),0,IF($G84="",Settings!$C$6,$G84)*INDEX(Settings!$C$8:$C$12,6-$T84))</f>
        <v>0</v>
      </c>
      <c r="AB84" s="37" t="str">
        <f aca="false">IF($B84="","",IF($Y84="",0,$Y84)+IF($Z84="",0,$Z84)+IF($AA84="",0,$AA84))</f>
        <v/>
      </c>
      <c r="AC84" s="35"/>
      <c r="AD84" s="33"/>
      <c r="AE84" s="36" t="str">
        <f aca="false">IF($B84="","",IF(OR($H84="Nonconformity (process)",$S84="Yes",AND(ISNUMBER($W84),$W84&gt;=Settings!$C$20)),"YES – required","No"))</f>
        <v/>
      </c>
      <c r="AF84" s="33"/>
      <c r="AG84" s="33"/>
      <c r="AH84" s="32"/>
      <c r="AI84" s="33"/>
      <c r="AJ84" s="32"/>
      <c r="AK84" s="31" t="str">
        <f aca="false">IF(OR($B84="",$AJ84=""),"",$AJ84-$B84)</f>
        <v/>
      </c>
      <c r="AL84" s="31" t="str">
        <f aca="false">IF($X84="","",INDEX(Settings!$C$15:$C$17,MATCH($X84,Settings!$B$15:$B$17,0)))</f>
        <v/>
      </c>
      <c r="AM84" s="36" t="str">
        <f aca="true">IF($B84="","",IF($AH84="","No due date",IF($AI84="Closed",IF($AJ84="","Missing close date",IF($AJ84&lt;=$AH84,"On time","Late")),IF(TODAY()&gt;$AH84,"OVERDUE","In progress"))))</f>
        <v/>
      </c>
      <c r="AN84" s="35"/>
    </row>
    <row r="85" customFormat="false" ht="27.75" hidden="false" customHeight="true" outlineLevel="0" collapsed="false">
      <c r="A85" s="31" t="str">
        <f aca="false">IF($B85="","",ROW()-4)</f>
        <v/>
      </c>
      <c r="B85" s="32"/>
      <c r="C85" s="32"/>
      <c r="D85" s="33"/>
      <c r="E85" s="33"/>
      <c r="F85" s="33"/>
      <c r="G85" s="34"/>
      <c r="H85" s="33"/>
      <c r="I85" s="33"/>
      <c r="J85" s="33"/>
      <c r="K85" s="33"/>
      <c r="L85" s="35"/>
      <c r="M85" s="33"/>
      <c r="N85" s="33"/>
      <c r="O85" s="33"/>
      <c r="P85" s="33"/>
      <c r="Q85" s="35"/>
      <c r="R85" s="33"/>
      <c r="S85" s="33"/>
      <c r="T85" s="33"/>
      <c r="U85" s="33"/>
      <c r="V85" s="33"/>
      <c r="W85" s="31" t="str">
        <f aca="false">IF(OR($T85="",$U85="",$V85=""),"",$T85*$U85*$V85)</f>
        <v/>
      </c>
      <c r="X85" s="36" t="str">
        <f aca="false">IF($W85="","",IF($T85=5,"High",IF($W85&gt;=Settings!$C$20,"High",IF(OR($W85&gt;=Settings!$C$21,$T85=4),"Medium","Low"))))</f>
        <v/>
      </c>
      <c r="Y85" s="34"/>
      <c r="Z85" s="37" t="str">
        <f aca="false">IF($O85="","",$O85*Settings!$C$5)</f>
        <v/>
      </c>
      <c r="AA85" s="37" t="n">
        <f aca="false">IF(OR($H85&lt;&gt;"Complaint",$P85&lt;&gt;"Upheld",$T85=""),0,IF($G85="",Settings!$C$6,$G85)*INDEX(Settings!$C$8:$C$12,6-$T85))</f>
        <v>0</v>
      </c>
      <c r="AB85" s="37" t="str">
        <f aca="false">IF($B85="","",IF($Y85="",0,$Y85)+IF($Z85="",0,$Z85)+IF($AA85="",0,$AA85))</f>
        <v/>
      </c>
      <c r="AC85" s="35"/>
      <c r="AD85" s="33"/>
      <c r="AE85" s="36" t="str">
        <f aca="false">IF($B85="","",IF(OR($H85="Nonconformity (process)",$S85="Yes",AND(ISNUMBER($W85),$W85&gt;=Settings!$C$20)),"YES – required","No"))</f>
        <v/>
      </c>
      <c r="AF85" s="33"/>
      <c r="AG85" s="33"/>
      <c r="AH85" s="32"/>
      <c r="AI85" s="33"/>
      <c r="AJ85" s="32"/>
      <c r="AK85" s="31" t="str">
        <f aca="false">IF(OR($B85="",$AJ85=""),"",$AJ85-$B85)</f>
        <v/>
      </c>
      <c r="AL85" s="31" t="str">
        <f aca="false">IF($X85="","",INDEX(Settings!$C$15:$C$17,MATCH($X85,Settings!$B$15:$B$17,0)))</f>
        <v/>
      </c>
      <c r="AM85" s="36" t="str">
        <f aca="true">IF($B85="","",IF($AH85="","No due date",IF($AI85="Closed",IF($AJ85="","Missing close date",IF($AJ85&lt;=$AH85,"On time","Late")),IF(TODAY()&gt;$AH85,"OVERDUE","In progress"))))</f>
        <v/>
      </c>
      <c r="AN85" s="35"/>
    </row>
    <row r="86" customFormat="false" ht="27.75" hidden="false" customHeight="true" outlineLevel="0" collapsed="false">
      <c r="A86" s="31" t="str">
        <f aca="false">IF($B86="","",ROW()-4)</f>
        <v/>
      </c>
      <c r="B86" s="32"/>
      <c r="C86" s="32"/>
      <c r="D86" s="33"/>
      <c r="E86" s="33"/>
      <c r="F86" s="33"/>
      <c r="G86" s="34"/>
      <c r="H86" s="33"/>
      <c r="I86" s="33"/>
      <c r="J86" s="33"/>
      <c r="K86" s="33"/>
      <c r="L86" s="35"/>
      <c r="M86" s="33"/>
      <c r="N86" s="33"/>
      <c r="O86" s="33"/>
      <c r="P86" s="33"/>
      <c r="Q86" s="35"/>
      <c r="R86" s="33"/>
      <c r="S86" s="33"/>
      <c r="T86" s="33"/>
      <c r="U86" s="33"/>
      <c r="V86" s="33"/>
      <c r="W86" s="31" t="str">
        <f aca="false">IF(OR($T86="",$U86="",$V86=""),"",$T86*$U86*$V86)</f>
        <v/>
      </c>
      <c r="X86" s="36" t="str">
        <f aca="false">IF($W86="","",IF($T86=5,"High",IF($W86&gt;=Settings!$C$20,"High",IF(OR($W86&gt;=Settings!$C$21,$T86=4),"Medium","Low"))))</f>
        <v/>
      </c>
      <c r="Y86" s="34"/>
      <c r="Z86" s="37" t="str">
        <f aca="false">IF($O86="","",$O86*Settings!$C$5)</f>
        <v/>
      </c>
      <c r="AA86" s="37" t="n">
        <f aca="false">IF(OR($H86&lt;&gt;"Complaint",$P86&lt;&gt;"Upheld",$T86=""),0,IF($G86="",Settings!$C$6,$G86)*INDEX(Settings!$C$8:$C$12,6-$T86))</f>
        <v>0</v>
      </c>
      <c r="AB86" s="37" t="str">
        <f aca="false">IF($B86="","",IF($Y86="",0,$Y86)+IF($Z86="",0,$Z86)+IF($AA86="",0,$AA86))</f>
        <v/>
      </c>
      <c r="AC86" s="35"/>
      <c r="AD86" s="33"/>
      <c r="AE86" s="36" t="str">
        <f aca="false">IF($B86="","",IF(OR($H86="Nonconformity (process)",$S86="Yes",AND(ISNUMBER($W86),$W86&gt;=Settings!$C$20)),"YES – required","No"))</f>
        <v/>
      </c>
      <c r="AF86" s="33"/>
      <c r="AG86" s="33"/>
      <c r="AH86" s="32"/>
      <c r="AI86" s="33"/>
      <c r="AJ86" s="32"/>
      <c r="AK86" s="31" t="str">
        <f aca="false">IF(OR($B86="",$AJ86=""),"",$AJ86-$B86)</f>
        <v/>
      </c>
      <c r="AL86" s="31" t="str">
        <f aca="false">IF($X86="","",INDEX(Settings!$C$15:$C$17,MATCH($X86,Settings!$B$15:$B$17,0)))</f>
        <v/>
      </c>
      <c r="AM86" s="36" t="str">
        <f aca="true">IF($B86="","",IF($AH86="","No due date",IF($AI86="Closed",IF($AJ86="","Missing close date",IF($AJ86&lt;=$AH86,"On time","Late")),IF(TODAY()&gt;$AH86,"OVERDUE","In progress"))))</f>
        <v/>
      </c>
      <c r="AN86" s="35"/>
    </row>
    <row r="87" customFormat="false" ht="27.75" hidden="false" customHeight="true" outlineLevel="0" collapsed="false">
      <c r="A87" s="31" t="str">
        <f aca="false">IF($B87="","",ROW()-4)</f>
        <v/>
      </c>
      <c r="B87" s="32"/>
      <c r="C87" s="32"/>
      <c r="D87" s="33"/>
      <c r="E87" s="33"/>
      <c r="F87" s="33"/>
      <c r="G87" s="34"/>
      <c r="H87" s="33"/>
      <c r="I87" s="33"/>
      <c r="J87" s="33"/>
      <c r="K87" s="33"/>
      <c r="L87" s="35"/>
      <c r="M87" s="33"/>
      <c r="N87" s="33"/>
      <c r="O87" s="33"/>
      <c r="P87" s="33"/>
      <c r="Q87" s="35"/>
      <c r="R87" s="33"/>
      <c r="S87" s="33"/>
      <c r="T87" s="33"/>
      <c r="U87" s="33"/>
      <c r="V87" s="33"/>
      <c r="W87" s="31" t="str">
        <f aca="false">IF(OR($T87="",$U87="",$V87=""),"",$T87*$U87*$V87)</f>
        <v/>
      </c>
      <c r="X87" s="36" t="str">
        <f aca="false">IF($W87="","",IF($T87=5,"High",IF($W87&gt;=Settings!$C$20,"High",IF(OR($W87&gt;=Settings!$C$21,$T87=4),"Medium","Low"))))</f>
        <v/>
      </c>
      <c r="Y87" s="34"/>
      <c r="Z87" s="37" t="str">
        <f aca="false">IF($O87="","",$O87*Settings!$C$5)</f>
        <v/>
      </c>
      <c r="AA87" s="37" t="n">
        <f aca="false">IF(OR($H87&lt;&gt;"Complaint",$P87&lt;&gt;"Upheld",$T87=""),0,IF($G87="",Settings!$C$6,$G87)*INDEX(Settings!$C$8:$C$12,6-$T87))</f>
        <v>0</v>
      </c>
      <c r="AB87" s="37" t="str">
        <f aca="false">IF($B87="","",IF($Y87="",0,$Y87)+IF($Z87="",0,$Z87)+IF($AA87="",0,$AA87))</f>
        <v/>
      </c>
      <c r="AC87" s="35"/>
      <c r="AD87" s="33"/>
      <c r="AE87" s="36" t="str">
        <f aca="false">IF($B87="","",IF(OR($H87="Nonconformity (process)",$S87="Yes",AND(ISNUMBER($W87),$W87&gt;=Settings!$C$20)),"YES – required","No"))</f>
        <v/>
      </c>
      <c r="AF87" s="33"/>
      <c r="AG87" s="33"/>
      <c r="AH87" s="32"/>
      <c r="AI87" s="33"/>
      <c r="AJ87" s="32"/>
      <c r="AK87" s="31" t="str">
        <f aca="false">IF(OR($B87="",$AJ87=""),"",$AJ87-$B87)</f>
        <v/>
      </c>
      <c r="AL87" s="31" t="str">
        <f aca="false">IF($X87="","",INDEX(Settings!$C$15:$C$17,MATCH($X87,Settings!$B$15:$B$17,0)))</f>
        <v/>
      </c>
      <c r="AM87" s="36" t="str">
        <f aca="true">IF($B87="","",IF($AH87="","No due date",IF($AI87="Closed",IF($AJ87="","Missing close date",IF($AJ87&lt;=$AH87,"On time","Late")),IF(TODAY()&gt;$AH87,"OVERDUE","In progress"))))</f>
        <v/>
      </c>
      <c r="AN87" s="35"/>
    </row>
    <row r="88" customFormat="false" ht="27.75" hidden="false" customHeight="true" outlineLevel="0" collapsed="false">
      <c r="A88" s="31" t="str">
        <f aca="false">IF($B88="","",ROW()-4)</f>
        <v/>
      </c>
      <c r="B88" s="32"/>
      <c r="C88" s="32"/>
      <c r="D88" s="33"/>
      <c r="E88" s="33"/>
      <c r="F88" s="33"/>
      <c r="G88" s="34"/>
      <c r="H88" s="33"/>
      <c r="I88" s="33"/>
      <c r="J88" s="33"/>
      <c r="K88" s="33"/>
      <c r="L88" s="35"/>
      <c r="M88" s="33"/>
      <c r="N88" s="33"/>
      <c r="O88" s="33"/>
      <c r="P88" s="33"/>
      <c r="Q88" s="35"/>
      <c r="R88" s="33"/>
      <c r="S88" s="33"/>
      <c r="T88" s="33"/>
      <c r="U88" s="33"/>
      <c r="V88" s="33"/>
      <c r="W88" s="31" t="str">
        <f aca="false">IF(OR($T88="",$U88="",$V88=""),"",$T88*$U88*$V88)</f>
        <v/>
      </c>
      <c r="X88" s="36" t="str">
        <f aca="false">IF($W88="","",IF($T88=5,"High",IF($W88&gt;=Settings!$C$20,"High",IF(OR($W88&gt;=Settings!$C$21,$T88=4),"Medium","Low"))))</f>
        <v/>
      </c>
      <c r="Y88" s="34"/>
      <c r="Z88" s="37" t="str">
        <f aca="false">IF($O88="","",$O88*Settings!$C$5)</f>
        <v/>
      </c>
      <c r="AA88" s="37" t="n">
        <f aca="false">IF(OR($H88&lt;&gt;"Complaint",$P88&lt;&gt;"Upheld",$T88=""),0,IF($G88="",Settings!$C$6,$G88)*INDEX(Settings!$C$8:$C$12,6-$T88))</f>
        <v>0</v>
      </c>
      <c r="AB88" s="37" t="str">
        <f aca="false">IF($B88="","",IF($Y88="",0,$Y88)+IF($Z88="",0,$Z88)+IF($AA88="",0,$AA88))</f>
        <v/>
      </c>
      <c r="AC88" s="35"/>
      <c r="AD88" s="33"/>
      <c r="AE88" s="36" t="str">
        <f aca="false">IF($B88="","",IF(OR($H88="Nonconformity (process)",$S88="Yes",AND(ISNUMBER($W88),$W88&gt;=Settings!$C$20)),"YES – required","No"))</f>
        <v/>
      </c>
      <c r="AF88" s="33"/>
      <c r="AG88" s="33"/>
      <c r="AH88" s="32"/>
      <c r="AI88" s="33"/>
      <c r="AJ88" s="32"/>
      <c r="AK88" s="31" t="str">
        <f aca="false">IF(OR($B88="",$AJ88=""),"",$AJ88-$B88)</f>
        <v/>
      </c>
      <c r="AL88" s="31" t="str">
        <f aca="false">IF($X88="","",INDEX(Settings!$C$15:$C$17,MATCH($X88,Settings!$B$15:$B$17,0)))</f>
        <v/>
      </c>
      <c r="AM88" s="36" t="str">
        <f aca="true">IF($B88="","",IF($AH88="","No due date",IF($AI88="Closed",IF($AJ88="","Missing close date",IF($AJ88&lt;=$AH88,"On time","Late")),IF(TODAY()&gt;$AH88,"OVERDUE","In progress"))))</f>
        <v/>
      </c>
      <c r="AN88" s="35"/>
    </row>
    <row r="89" customFormat="false" ht="27.75" hidden="false" customHeight="true" outlineLevel="0" collapsed="false">
      <c r="A89" s="31" t="str">
        <f aca="false">IF($B89="","",ROW()-4)</f>
        <v/>
      </c>
      <c r="B89" s="32"/>
      <c r="C89" s="32"/>
      <c r="D89" s="33"/>
      <c r="E89" s="33"/>
      <c r="F89" s="33"/>
      <c r="G89" s="34"/>
      <c r="H89" s="33"/>
      <c r="I89" s="33"/>
      <c r="J89" s="33"/>
      <c r="K89" s="33"/>
      <c r="L89" s="35"/>
      <c r="M89" s="33"/>
      <c r="N89" s="33"/>
      <c r="O89" s="33"/>
      <c r="P89" s="33"/>
      <c r="Q89" s="35"/>
      <c r="R89" s="33"/>
      <c r="S89" s="33"/>
      <c r="T89" s="33"/>
      <c r="U89" s="33"/>
      <c r="V89" s="33"/>
      <c r="W89" s="31" t="str">
        <f aca="false">IF(OR($T89="",$U89="",$V89=""),"",$T89*$U89*$V89)</f>
        <v/>
      </c>
      <c r="X89" s="36" t="str">
        <f aca="false">IF($W89="","",IF($T89=5,"High",IF($W89&gt;=Settings!$C$20,"High",IF(OR($W89&gt;=Settings!$C$21,$T89=4),"Medium","Low"))))</f>
        <v/>
      </c>
      <c r="Y89" s="34"/>
      <c r="Z89" s="37" t="str">
        <f aca="false">IF($O89="","",$O89*Settings!$C$5)</f>
        <v/>
      </c>
      <c r="AA89" s="37" t="n">
        <f aca="false">IF(OR($H89&lt;&gt;"Complaint",$P89&lt;&gt;"Upheld",$T89=""),0,IF($G89="",Settings!$C$6,$G89)*INDEX(Settings!$C$8:$C$12,6-$T89))</f>
        <v>0</v>
      </c>
      <c r="AB89" s="37" t="str">
        <f aca="false">IF($B89="","",IF($Y89="",0,$Y89)+IF($Z89="",0,$Z89)+IF($AA89="",0,$AA89))</f>
        <v/>
      </c>
      <c r="AC89" s="35"/>
      <c r="AD89" s="33"/>
      <c r="AE89" s="36" t="str">
        <f aca="false">IF($B89="","",IF(OR($H89="Nonconformity (process)",$S89="Yes",AND(ISNUMBER($W89),$W89&gt;=Settings!$C$20)),"YES – required","No"))</f>
        <v/>
      </c>
      <c r="AF89" s="33"/>
      <c r="AG89" s="33"/>
      <c r="AH89" s="32"/>
      <c r="AI89" s="33"/>
      <c r="AJ89" s="32"/>
      <c r="AK89" s="31" t="str">
        <f aca="false">IF(OR($B89="",$AJ89=""),"",$AJ89-$B89)</f>
        <v/>
      </c>
      <c r="AL89" s="31" t="str">
        <f aca="false">IF($X89="","",INDEX(Settings!$C$15:$C$17,MATCH($X89,Settings!$B$15:$B$17,0)))</f>
        <v/>
      </c>
      <c r="AM89" s="36" t="str">
        <f aca="true">IF($B89="","",IF($AH89="","No due date",IF($AI89="Closed",IF($AJ89="","Missing close date",IF($AJ89&lt;=$AH89,"On time","Late")),IF(TODAY()&gt;$AH89,"OVERDUE","In progress"))))</f>
        <v/>
      </c>
      <c r="AN89" s="35"/>
    </row>
    <row r="90" customFormat="false" ht="27.75" hidden="false" customHeight="true" outlineLevel="0" collapsed="false">
      <c r="A90" s="31" t="str">
        <f aca="false">IF($B90="","",ROW()-4)</f>
        <v/>
      </c>
      <c r="B90" s="32"/>
      <c r="C90" s="32"/>
      <c r="D90" s="33"/>
      <c r="E90" s="33"/>
      <c r="F90" s="33"/>
      <c r="G90" s="34"/>
      <c r="H90" s="33"/>
      <c r="I90" s="33"/>
      <c r="J90" s="33"/>
      <c r="K90" s="33"/>
      <c r="L90" s="35"/>
      <c r="M90" s="33"/>
      <c r="N90" s="33"/>
      <c r="O90" s="33"/>
      <c r="P90" s="33"/>
      <c r="Q90" s="35"/>
      <c r="R90" s="33"/>
      <c r="S90" s="33"/>
      <c r="T90" s="33"/>
      <c r="U90" s="33"/>
      <c r="V90" s="33"/>
      <c r="W90" s="31" t="str">
        <f aca="false">IF(OR($T90="",$U90="",$V90=""),"",$T90*$U90*$V90)</f>
        <v/>
      </c>
      <c r="X90" s="36" t="str">
        <f aca="false">IF($W90="","",IF($T90=5,"High",IF($W90&gt;=Settings!$C$20,"High",IF(OR($W90&gt;=Settings!$C$21,$T90=4),"Medium","Low"))))</f>
        <v/>
      </c>
      <c r="Y90" s="34"/>
      <c r="Z90" s="37" t="str">
        <f aca="false">IF($O90="","",$O90*Settings!$C$5)</f>
        <v/>
      </c>
      <c r="AA90" s="37" t="n">
        <f aca="false">IF(OR($H90&lt;&gt;"Complaint",$P90&lt;&gt;"Upheld",$T90=""),0,IF($G90="",Settings!$C$6,$G90)*INDEX(Settings!$C$8:$C$12,6-$T90))</f>
        <v>0</v>
      </c>
      <c r="AB90" s="37" t="str">
        <f aca="false">IF($B90="","",IF($Y90="",0,$Y90)+IF($Z90="",0,$Z90)+IF($AA90="",0,$AA90))</f>
        <v/>
      </c>
      <c r="AC90" s="35"/>
      <c r="AD90" s="33"/>
      <c r="AE90" s="36" t="str">
        <f aca="false">IF($B90="","",IF(OR($H90="Nonconformity (process)",$S90="Yes",AND(ISNUMBER($W90),$W90&gt;=Settings!$C$20)),"YES – required","No"))</f>
        <v/>
      </c>
      <c r="AF90" s="33"/>
      <c r="AG90" s="33"/>
      <c r="AH90" s="32"/>
      <c r="AI90" s="33"/>
      <c r="AJ90" s="32"/>
      <c r="AK90" s="31" t="str">
        <f aca="false">IF(OR($B90="",$AJ90=""),"",$AJ90-$B90)</f>
        <v/>
      </c>
      <c r="AL90" s="31" t="str">
        <f aca="false">IF($X90="","",INDEX(Settings!$C$15:$C$17,MATCH($X90,Settings!$B$15:$B$17,0)))</f>
        <v/>
      </c>
      <c r="AM90" s="36" t="str">
        <f aca="true">IF($B90="","",IF($AH90="","No due date",IF($AI90="Closed",IF($AJ90="","Missing close date",IF($AJ90&lt;=$AH90,"On time","Late")),IF(TODAY()&gt;$AH90,"OVERDUE","In progress"))))</f>
        <v/>
      </c>
      <c r="AN90" s="35"/>
    </row>
    <row r="91" customFormat="false" ht="27.75" hidden="false" customHeight="true" outlineLevel="0" collapsed="false">
      <c r="A91" s="31" t="str">
        <f aca="false">IF($B91="","",ROW()-4)</f>
        <v/>
      </c>
      <c r="B91" s="32"/>
      <c r="C91" s="32"/>
      <c r="D91" s="33"/>
      <c r="E91" s="33"/>
      <c r="F91" s="33"/>
      <c r="G91" s="34"/>
      <c r="H91" s="33"/>
      <c r="I91" s="33"/>
      <c r="J91" s="33"/>
      <c r="K91" s="33"/>
      <c r="L91" s="35"/>
      <c r="M91" s="33"/>
      <c r="N91" s="33"/>
      <c r="O91" s="33"/>
      <c r="P91" s="33"/>
      <c r="Q91" s="35"/>
      <c r="R91" s="33"/>
      <c r="S91" s="33"/>
      <c r="T91" s="33"/>
      <c r="U91" s="33"/>
      <c r="V91" s="33"/>
      <c r="W91" s="31" t="str">
        <f aca="false">IF(OR($T91="",$U91="",$V91=""),"",$T91*$U91*$V91)</f>
        <v/>
      </c>
      <c r="X91" s="36" t="str">
        <f aca="false">IF($W91="","",IF($T91=5,"High",IF($W91&gt;=Settings!$C$20,"High",IF(OR($W91&gt;=Settings!$C$21,$T91=4),"Medium","Low"))))</f>
        <v/>
      </c>
      <c r="Y91" s="34"/>
      <c r="Z91" s="37" t="str">
        <f aca="false">IF($O91="","",$O91*Settings!$C$5)</f>
        <v/>
      </c>
      <c r="AA91" s="37" t="n">
        <f aca="false">IF(OR($H91&lt;&gt;"Complaint",$P91&lt;&gt;"Upheld",$T91=""),0,IF($G91="",Settings!$C$6,$G91)*INDEX(Settings!$C$8:$C$12,6-$T91))</f>
        <v>0</v>
      </c>
      <c r="AB91" s="37" t="str">
        <f aca="false">IF($B91="","",IF($Y91="",0,$Y91)+IF($Z91="",0,$Z91)+IF($AA91="",0,$AA91))</f>
        <v/>
      </c>
      <c r="AC91" s="35"/>
      <c r="AD91" s="33"/>
      <c r="AE91" s="36" t="str">
        <f aca="false">IF($B91="","",IF(OR($H91="Nonconformity (process)",$S91="Yes",AND(ISNUMBER($W91),$W91&gt;=Settings!$C$20)),"YES – required","No"))</f>
        <v/>
      </c>
      <c r="AF91" s="33"/>
      <c r="AG91" s="33"/>
      <c r="AH91" s="32"/>
      <c r="AI91" s="33"/>
      <c r="AJ91" s="32"/>
      <c r="AK91" s="31" t="str">
        <f aca="false">IF(OR($B91="",$AJ91=""),"",$AJ91-$B91)</f>
        <v/>
      </c>
      <c r="AL91" s="31" t="str">
        <f aca="false">IF($X91="","",INDEX(Settings!$C$15:$C$17,MATCH($X91,Settings!$B$15:$B$17,0)))</f>
        <v/>
      </c>
      <c r="AM91" s="36" t="str">
        <f aca="true">IF($B91="","",IF($AH91="","No due date",IF($AI91="Closed",IF($AJ91="","Missing close date",IF($AJ91&lt;=$AH91,"On time","Late")),IF(TODAY()&gt;$AH91,"OVERDUE","In progress"))))</f>
        <v/>
      </c>
      <c r="AN91" s="35"/>
    </row>
    <row r="92" customFormat="false" ht="27.75" hidden="false" customHeight="true" outlineLevel="0" collapsed="false">
      <c r="A92" s="31" t="str">
        <f aca="false">IF($B92="","",ROW()-4)</f>
        <v/>
      </c>
      <c r="B92" s="32"/>
      <c r="C92" s="32"/>
      <c r="D92" s="33"/>
      <c r="E92" s="33"/>
      <c r="F92" s="33"/>
      <c r="G92" s="34"/>
      <c r="H92" s="33"/>
      <c r="I92" s="33"/>
      <c r="J92" s="33"/>
      <c r="K92" s="33"/>
      <c r="L92" s="35"/>
      <c r="M92" s="33"/>
      <c r="N92" s="33"/>
      <c r="O92" s="33"/>
      <c r="P92" s="33"/>
      <c r="Q92" s="35"/>
      <c r="R92" s="33"/>
      <c r="S92" s="33"/>
      <c r="T92" s="33"/>
      <c r="U92" s="33"/>
      <c r="V92" s="33"/>
      <c r="W92" s="31" t="str">
        <f aca="false">IF(OR($T92="",$U92="",$V92=""),"",$T92*$U92*$V92)</f>
        <v/>
      </c>
      <c r="X92" s="36" t="str">
        <f aca="false">IF($W92="","",IF($T92=5,"High",IF($W92&gt;=Settings!$C$20,"High",IF(OR($W92&gt;=Settings!$C$21,$T92=4),"Medium","Low"))))</f>
        <v/>
      </c>
      <c r="Y92" s="34"/>
      <c r="Z92" s="37" t="str">
        <f aca="false">IF($O92="","",$O92*Settings!$C$5)</f>
        <v/>
      </c>
      <c r="AA92" s="37" t="n">
        <f aca="false">IF(OR($H92&lt;&gt;"Complaint",$P92&lt;&gt;"Upheld",$T92=""),0,IF($G92="",Settings!$C$6,$G92)*INDEX(Settings!$C$8:$C$12,6-$T92))</f>
        <v>0</v>
      </c>
      <c r="AB92" s="37" t="str">
        <f aca="false">IF($B92="","",IF($Y92="",0,$Y92)+IF($Z92="",0,$Z92)+IF($AA92="",0,$AA92))</f>
        <v/>
      </c>
      <c r="AC92" s="35"/>
      <c r="AD92" s="33"/>
      <c r="AE92" s="36" t="str">
        <f aca="false">IF($B92="","",IF(OR($H92="Nonconformity (process)",$S92="Yes",AND(ISNUMBER($W92),$W92&gt;=Settings!$C$20)),"YES – required","No"))</f>
        <v/>
      </c>
      <c r="AF92" s="33"/>
      <c r="AG92" s="33"/>
      <c r="AH92" s="32"/>
      <c r="AI92" s="33"/>
      <c r="AJ92" s="32"/>
      <c r="AK92" s="31" t="str">
        <f aca="false">IF(OR($B92="",$AJ92=""),"",$AJ92-$B92)</f>
        <v/>
      </c>
      <c r="AL92" s="31" t="str">
        <f aca="false">IF($X92="","",INDEX(Settings!$C$15:$C$17,MATCH($X92,Settings!$B$15:$B$17,0)))</f>
        <v/>
      </c>
      <c r="AM92" s="36" t="str">
        <f aca="true">IF($B92="","",IF($AH92="","No due date",IF($AI92="Closed",IF($AJ92="","Missing close date",IF($AJ92&lt;=$AH92,"On time","Late")),IF(TODAY()&gt;$AH92,"OVERDUE","In progress"))))</f>
        <v/>
      </c>
      <c r="AN92" s="35"/>
    </row>
    <row r="93" customFormat="false" ht="27.75" hidden="false" customHeight="true" outlineLevel="0" collapsed="false">
      <c r="A93" s="31" t="str">
        <f aca="false">IF($B93="","",ROW()-4)</f>
        <v/>
      </c>
      <c r="B93" s="32"/>
      <c r="C93" s="32"/>
      <c r="D93" s="33"/>
      <c r="E93" s="33"/>
      <c r="F93" s="33"/>
      <c r="G93" s="34"/>
      <c r="H93" s="33"/>
      <c r="I93" s="33"/>
      <c r="J93" s="33"/>
      <c r="K93" s="33"/>
      <c r="L93" s="35"/>
      <c r="M93" s="33"/>
      <c r="N93" s="33"/>
      <c r="O93" s="33"/>
      <c r="P93" s="33"/>
      <c r="Q93" s="35"/>
      <c r="R93" s="33"/>
      <c r="S93" s="33"/>
      <c r="T93" s="33"/>
      <c r="U93" s="33"/>
      <c r="V93" s="33"/>
      <c r="W93" s="31" t="str">
        <f aca="false">IF(OR($T93="",$U93="",$V93=""),"",$T93*$U93*$V93)</f>
        <v/>
      </c>
      <c r="X93" s="36" t="str">
        <f aca="false">IF($W93="","",IF($T93=5,"High",IF($W93&gt;=Settings!$C$20,"High",IF(OR($W93&gt;=Settings!$C$21,$T93=4),"Medium","Low"))))</f>
        <v/>
      </c>
      <c r="Y93" s="34"/>
      <c r="Z93" s="37" t="str">
        <f aca="false">IF($O93="","",$O93*Settings!$C$5)</f>
        <v/>
      </c>
      <c r="AA93" s="37" t="n">
        <f aca="false">IF(OR($H93&lt;&gt;"Complaint",$P93&lt;&gt;"Upheld",$T93=""),0,IF($G93="",Settings!$C$6,$G93)*INDEX(Settings!$C$8:$C$12,6-$T93))</f>
        <v>0</v>
      </c>
      <c r="AB93" s="37" t="str">
        <f aca="false">IF($B93="","",IF($Y93="",0,$Y93)+IF($Z93="",0,$Z93)+IF($AA93="",0,$AA93))</f>
        <v/>
      </c>
      <c r="AC93" s="35"/>
      <c r="AD93" s="33"/>
      <c r="AE93" s="36" t="str">
        <f aca="false">IF($B93="","",IF(OR($H93="Nonconformity (process)",$S93="Yes",AND(ISNUMBER($W93),$W93&gt;=Settings!$C$20)),"YES – required","No"))</f>
        <v/>
      </c>
      <c r="AF93" s="33"/>
      <c r="AG93" s="33"/>
      <c r="AH93" s="32"/>
      <c r="AI93" s="33"/>
      <c r="AJ93" s="32"/>
      <c r="AK93" s="31" t="str">
        <f aca="false">IF(OR($B93="",$AJ93=""),"",$AJ93-$B93)</f>
        <v/>
      </c>
      <c r="AL93" s="31" t="str">
        <f aca="false">IF($X93="","",INDEX(Settings!$C$15:$C$17,MATCH($X93,Settings!$B$15:$B$17,0)))</f>
        <v/>
      </c>
      <c r="AM93" s="36" t="str">
        <f aca="true">IF($B93="","",IF($AH93="","No due date",IF($AI93="Closed",IF($AJ93="","Missing close date",IF($AJ93&lt;=$AH93,"On time","Late")),IF(TODAY()&gt;$AH93,"OVERDUE","In progress"))))</f>
        <v/>
      </c>
      <c r="AN93" s="35"/>
    </row>
    <row r="94" customFormat="false" ht="27.75" hidden="false" customHeight="true" outlineLevel="0" collapsed="false">
      <c r="A94" s="31" t="str">
        <f aca="false">IF($B94="","",ROW()-4)</f>
        <v/>
      </c>
      <c r="B94" s="32"/>
      <c r="C94" s="32"/>
      <c r="D94" s="33"/>
      <c r="E94" s="33"/>
      <c r="F94" s="33"/>
      <c r="G94" s="34"/>
      <c r="H94" s="33"/>
      <c r="I94" s="33"/>
      <c r="J94" s="33"/>
      <c r="K94" s="33"/>
      <c r="L94" s="35"/>
      <c r="M94" s="33"/>
      <c r="N94" s="33"/>
      <c r="O94" s="33"/>
      <c r="P94" s="33"/>
      <c r="Q94" s="35"/>
      <c r="R94" s="33"/>
      <c r="S94" s="33"/>
      <c r="T94" s="33"/>
      <c r="U94" s="33"/>
      <c r="V94" s="33"/>
      <c r="W94" s="31" t="str">
        <f aca="false">IF(OR($T94="",$U94="",$V94=""),"",$T94*$U94*$V94)</f>
        <v/>
      </c>
      <c r="X94" s="36" t="str">
        <f aca="false">IF($W94="","",IF($T94=5,"High",IF($W94&gt;=Settings!$C$20,"High",IF(OR($W94&gt;=Settings!$C$21,$T94=4),"Medium","Low"))))</f>
        <v/>
      </c>
      <c r="Y94" s="34"/>
      <c r="Z94" s="37" t="str">
        <f aca="false">IF($O94="","",$O94*Settings!$C$5)</f>
        <v/>
      </c>
      <c r="AA94" s="37" t="n">
        <f aca="false">IF(OR($H94&lt;&gt;"Complaint",$P94&lt;&gt;"Upheld",$T94=""),0,IF($G94="",Settings!$C$6,$G94)*INDEX(Settings!$C$8:$C$12,6-$T94))</f>
        <v>0</v>
      </c>
      <c r="AB94" s="37" t="str">
        <f aca="false">IF($B94="","",IF($Y94="",0,$Y94)+IF($Z94="",0,$Z94)+IF($AA94="",0,$AA94))</f>
        <v/>
      </c>
      <c r="AC94" s="35"/>
      <c r="AD94" s="33"/>
      <c r="AE94" s="36" t="str">
        <f aca="false">IF($B94="","",IF(OR($H94="Nonconformity (process)",$S94="Yes",AND(ISNUMBER($W94),$W94&gt;=Settings!$C$20)),"YES – required","No"))</f>
        <v/>
      </c>
      <c r="AF94" s="33"/>
      <c r="AG94" s="33"/>
      <c r="AH94" s="32"/>
      <c r="AI94" s="33"/>
      <c r="AJ94" s="32"/>
      <c r="AK94" s="31" t="str">
        <f aca="false">IF(OR($B94="",$AJ94=""),"",$AJ94-$B94)</f>
        <v/>
      </c>
      <c r="AL94" s="31" t="str">
        <f aca="false">IF($X94="","",INDEX(Settings!$C$15:$C$17,MATCH($X94,Settings!$B$15:$B$17,0)))</f>
        <v/>
      </c>
      <c r="AM94" s="36" t="str">
        <f aca="true">IF($B94="","",IF($AH94="","No due date",IF($AI94="Closed",IF($AJ94="","Missing close date",IF($AJ94&lt;=$AH94,"On time","Late")),IF(TODAY()&gt;$AH94,"OVERDUE","In progress"))))</f>
        <v/>
      </c>
      <c r="AN94" s="35"/>
    </row>
    <row r="95" customFormat="false" ht="27.75" hidden="false" customHeight="true" outlineLevel="0" collapsed="false">
      <c r="A95" s="31" t="str">
        <f aca="false">IF($B95="","",ROW()-4)</f>
        <v/>
      </c>
      <c r="B95" s="32"/>
      <c r="C95" s="32"/>
      <c r="D95" s="33"/>
      <c r="E95" s="33"/>
      <c r="F95" s="33"/>
      <c r="G95" s="34"/>
      <c r="H95" s="33"/>
      <c r="I95" s="33"/>
      <c r="J95" s="33"/>
      <c r="K95" s="33"/>
      <c r="L95" s="35"/>
      <c r="M95" s="33"/>
      <c r="N95" s="33"/>
      <c r="O95" s="33"/>
      <c r="P95" s="33"/>
      <c r="Q95" s="35"/>
      <c r="R95" s="33"/>
      <c r="S95" s="33"/>
      <c r="T95" s="33"/>
      <c r="U95" s="33"/>
      <c r="V95" s="33"/>
      <c r="W95" s="31" t="str">
        <f aca="false">IF(OR($T95="",$U95="",$V95=""),"",$T95*$U95*$V95)</f>
        <v/>
      </c>
      <c r="X95" s="36" t="str">
        <f aca="false">IF($W95="","",IF($T95=5,"High",IF($W95&gt;=Settings!$C$20,"High",IF(OR($W95&gt;=Settings!$C$21,$T95=4),"Medium","Low"))))</f>
        <v/>
      </c>
      <c r="Y95" s="34"/>
      <c r="Z95" s="37" t="str">
        <f aca="false">IF($O95="","",$O95*Settings!$C$5)</f>
        <v/>
      </c>
      <c r="AA95" s="37" t="n">
        <f aca="false">IF(OR($H95&lt;&gt;"Complaint",$P95&lt;&gt;"Upheld",$T95=""),0,IF($G95="",Settings!$C$6,$G95)*INDEX(Settings!$C$8:$C$12,6-$T95))</f>
        <v>0</v>
      </c>
      <c r="AB95" s="37" t="str">
        <f aca="false">IF($B95="","",IF($Y95="",0,$Y95)+IF($Z95="",0,$Z95)+IF($AA95="",0,$AA95))</f>
        <v/>
      </c>
      <c r="AC95" s="35"/>
      <c r="AD95" s="33"/>
      <c r="AE95" s="36" t="str">
        <f aca="false">IF($B95="","",IF(OR($H95="Nonconformity (process)",$S95="Yes",AND(ISNUMBER($W95),$W95&gt;=Settings!$C$20)),"YES – required","No"))</f>
        <v/>
      </c>
      <c r="AF95" s="33"/>
      <c r="AG95" s="33"/>
      <c r="AH95" s="32"/>
      <c r="AI95" s="33"/>
      <c r="AJ95" s="32"/>
      <c r="AK95" s="31" t="str">
        <f aca="false">IF(OR($B95="",$AJ95=""),"",$AJ95-$B95)</f>
        <v/>
      </c>
      <c r="AL95" s="31" t="str">
        <f aca="false">IF($X95="","",INDEX(Settings!$C$15:$C$17,MATCH($X95,Settings!$B$15:$B$17,0)))</f>
        <v/>
      </c>
      <c r="AM95" s="36" t="str">
        <f aca="true">IF($B95="","",IF($AH95="","No due date",IF($AI95="Closed",IF($AJ95="","Missing close date",IF($AJ95&lt;=$AH95,"On time","Late")),IF(TODAY()&gt;$AH95,"OVERDUE","In progress"))))</f>
        <v/>
      </c>
      <c r="AN95" s="35"/>
    </row>
    <row r="96" customFormat="false" ht="27.75" hidden="false" customHeight="true" outlineLevel="0" collapsed="false">
      <c r="A96" s="31" t="str">
        <f aca="false">IF($B96="","",ROW()-4)</f>
        <v/>
      </c>
      <c r="B96" s="32"/>
      <c r="C96" s="32"/>
      <c r="D96" s="33"/>
      <c r="E96" s="33"/>
      <c r="F96" s="33"/>
      <c r="G96" s="34"/>
      <c r="H96" s="33"/>
      <c r="I96" s="33"/>
      <c r="J96" s="33"/>
      <c r="K96" s="33"/>
      <c r="L96" s="35"/>
      <c r="M96" s="33"/>
      <c r="N96" s="33"/>
      <c r="O96" s="33"/>
      <c r="P96" s="33"/>
      <c r="Q96" s="35"/>
      <c r="R96" s="33"/>
      <c r="S96" s="33"/>
      <c r="T96" s="33"/>
      <c r="U96" s="33"/>
      <c r="V96" s="33"/>
      <c r="W96" s="31" t="str">
        <f aca="false">IF(OR($T96="",$U96="",$V96=""),"",$T96*$U96*$V96)</f>
        <v/>
      </c>
      <c r="X96" s="36" t="str">
        <f aca="false">IF($W96="","",IF($T96=5,"High",IF($W96&gt;=Settings!$C$20,"High",IF(OR($W96&gt;=Settings!$C$21,$T96=4),"Medium","Low"))))</f>
        <v/>
      </c>
      <c r="Y96" s="34"/>
      <c r="Z96" s="37" t="str">
        <f aca="false">IF($O96="","",$O96*Settings!$C$5)</f>
        <v/>
      </c>
      <c r="AA96" s="37" t="n">
        <f aca="false">IF(OR($H96&lt;&gt;"Complaint",$P96&lt;&gt;"Upheld",$T96=""),0,IF($G96="",Settings!$C$6,$G96)*INDEX(Settings!$C$8:$C$12,6-$T96))</f>
        <v>0</v>
      </c>
      <c r="AB96" s="37" t="str">
        <f aca="false">IF($B96="","",IF($Y96="",0,$Y96)+IF($Z96="",0,$Z96)+IF($AA96="",0,$AA96))</f>
        <v/>
      </c>
      <c r="AC96" s="35"/>
      <c r="AD96" s="33"/>
      <c r="AE96" s="36" t="str">
        <f aca="false">IF($B96="","",IF(OR($H96="Nonconformity (process)",$S96="Yes",AND(ISNUMBER($W96),$W96&gt;=Settings!$C$20)),"YES – required","No"))</f>
        <v/>
      </c>
      <c r="AF96" s="33"/>
      <c r="AG96" s="33"/>
      <c r="AH96" s="32"/>
      <c r="AI96" s="33"/>
      <c r="AJ96" s="32"/>
      <c r="AK96" s="31" t="str">
        <f aca="false">IF(OR($B96="",$AJ96=""),"",$AJ96-$B96)</f>
        <v/>
      </c>
      <c r="AL96" s="31" t="str">
        <f aca="false">IF($X96="","",INDEX(Settings!$C$15:$C$17,MATCH($X96,Settings!$B$15:$B$17,0)))</f>
        <v/>
      </c>
      <c r="AM96" s="36" t="str">
        <f aca="true">IF($B96="","",IF($AH96="","No due date",IF($AI96="Closed",IF($AJ96="","Missing close date",IF($AJ96&lt;=$AH96,"On time","Late")),IF(TODAY()&gt;$AH96,"OVERDUE","In progress"))))</f>
        <v/>
      </c>
      <c r="AN96" s="35"/>
    </row>
    <row r="97" customFormat="false" ht="27.75" hidden="false" customHeight="true" outlineLevel="0" collapsed="false">
      <c r="A97" s="31" t="str">
        <f aca="false">IF($B97="","",ROW()-4)</f>
        <v/>
      </c>
      <c r="B97" s="32"/>
      <c r="C97" s="32"/>
      <c r="D97" s="33"/>
      <c r="E97" s="33"/>
      <c r="F97" s="33"/>
      <c r="G97" s="34"/>
      <c r="H97" s="33"/>
      <c r="I97" s="33"/>
      <c r="J97" s="33"/>
      <c r="K97" s="33"/>
      <c r="L97" s="35"/>
      <c r="M97" s="33"/>
      <c r="N97" s="33"/>
      <c r="O97" s="33"/>
      <c r="P97" s="33"/>
      <c r="Q97" s="35"/>
      <c r="R97" s="33"/>
      <c r="S97" s="33"/>
      <c r="T97" s="33"/>
      <c r="U97" s="33"/>
      <c r="V97" s="33"/>
      <c r="W97" s="31" t="str">
        <f aca="false">IF(OR($T97="",$U97="",$V97=""),"",$T97*$U97*$V97)</f>
        <v/>
      </c>
      <c r="X97" s="36" t="str">
        <f aca="false">IF($W97="","",IF($T97=5,"High",IF($W97&gt;=Settings!$C$20,"High",IF(OR($W97&gt;=Settings!$C$21,$T97=4),"Medium","Low"))))</f>
        <v/>
      </c>
      <c r="Y97" s="34"/>
      <c r="Z97" s="37" t="str">
        <f aca="false">IF($O97="","",$O97*Settings!$C$5)</f>
        <v/>
      </c>
      <c r="AA97" s="37" t="n">
        <f aca="false">IF(OR($H97&lt;&gt;"Complaint",$P97&lt;&gt;"Upheld",$T97=""),0,IF($G97="",Settings!$C$6,$G97)*INDEX(Settings!$C$8:$C$12,6-$T97))</f>
        <v>0</v>
      </c>
      <c r="AB97" s="37" t="str">
        <f aca="false">IF($B97="","",IF($Y97="",0,$Y97)+IF($Z97="",0,$Z97)+IF($AA97="",0,$AA97))</f>
        <v/>
      </c>
      <c r="AC97" s="35"/>
      <c r="AD97" s="33"/>
      <c r="AE97" s="36" t="str">
        <f aca="false">IF($B97="","",IF(OR($H97="Nonconformity (process)",$S97="Yes",AND(ISNUMBER($W97),$W97&gt;=Settings!$C$20)),"YES – required","No"))</f>
        <v/>
      </c>
      <c r="AF97" s="33"/>
      <c r="AG97" s="33"/>
      <c r="AH97" s="32"/>
      <c r="AI97" s="33"/>
      <c r="AJ97" s="32"/>
      <c r="AK97" s="31" t="str">
        <f aca="false">IF(OR($B97="",$AJ97=""),"",$AJ97-$B97)</f>
        <v/>
      </c>
      <c r="AL97" s="31" t="str">
        <f aca="false">IF($X97="","",INDEX(Settings!$C$15:$C$17,MATCH($X97,Settings!$B$15:$B$17,0)))</f>
        <v/>
      </c>
      <c r="AM97" s="36" t="str">
        <f aca="true">IF($B97="","",IF($AH97="","No due date",IF($AI97="Closed",IF($AJ97="","Missing close date",IF($AJ97&lt;=$AH97,"On time","Late")),IF(TODAY()&gt;$AH97,"OVERDUE","In progress"))))</f>
        <v/>
      </c>
      <c r="AN97" s="35"/>
    </row>
    <row r="98" customFormat="false" ht="27.75" hidden="false" customHeight="true" outlineLevel="0" collapsed="false">
      <c r="A98" s="31" t="str">
        <f aca="false">IF($B98="","",ROW()-4)</f>
        <v/>
      </c>
      <c r="B98" s="32"/>
      <c r="C98" s="32"/>
      <c r="D98" s="33"/>
      <c r="E98" s="33"/>
      <c r="F98" s="33"/>
      <c r="G98" s="34"/>
      <c r="H98" s="33"/>
      <c r="I98" s="33"/>
      <c r="J98" s="33"/>
      <c r="K98" s="33"/>
      <c r="L98" s="35"/>
      <c r="M98" s="33"/>
      <c r="N98" s="33"/>
      <c r="O98" s="33"/>
      <c r="P98" s="33"/>
      <c r="Q98" s="35"/>
      <c r="R98" s="33"/>
      <c r="S98" s="33"/>
      <c r="T98" s="33"/>
      <c r="U98" s="33"/>
      <c r="V98" s="33"/>
      <c r="W98" s="31" t="str">
        <f aca="false">IF(OR($T98="",$U98="",$V98=""),"",$T98*$U98*$V98)</f>
        <v/>
      </c>
      <c r="X98" s="36" t="str">
        <f aca="false">IF($W98="","",IF($T98=5,"High",IF($W98&gt;=Settings!$C$20,"High",IF(OR($W98&gt;=Settings!$C$21,$T98=4),"Medium","Low"))))</f>
        <v/>
      </c>
      <c r="Y98" s="34"/>
      <c r="Z98" s="37" t="str">
        <f aca="false">IF($O98="","",$O98*Settings!$C$5)</f>
        <v/>
      </c>
      <c r="AA98" s="37" t="n">
        <f aca="false">IF(OR($H98&lt;&gt;"Complaint",$P98&lt;&gt;"Upheld",$T98=""),0,IF($G98="",Settings!$C$6,$G98)*INDEX(Settings!$C$8:$C$12,6-$T98))</f>
        <v>0</v>
      </c>
      <c r="AB98" s="37" t="str">
        <f aca="false">IF($B98="","",IF($Y98="",0,$Y98)+IF($Z98="",0,$Z98)+IF($AA98="",0,$AA98))</f>
        <v/>
      </c>
      <c r="AC98" s="35"/>
      <c r="AD98" s="33"/>
      <c r="AE98" s="36" t="str">
        <f aca="false">IF($B98="","",IF(OR($H98="Nonconformity (process)",$S98="Yes",AND(ISNUMBER($W98),$W98&gt;=Settings!$C$20)),"YES – required","No"))</f>
        <v/>
      </c>
      <c r="AF98" s="33"/>
      <c r="AG98" s="33"/>
      <c r="AH98" s="32"/>
      <c r="AI98" s="33"/>
      <c r="AJ98" s="32"/>
      <c r="AK98" s="31" t="str">
        <f aca="false">IF(OR($B98="",$AJ98=""),"",$AJ98-$B98)</f>
        <v/>
      </c>
      <c r="AL98" s="31" t="str">
        <f aca="false">IF($X98="","",INDEX(Settings!$C$15:$C$17,MATCH($X98,Settings!$B$15:$B$17,0)))</f>
        <v/>
      </c>
      <c r="AM98" s="36" t="str">
        <f aca="true">IF($B98="","",IF($AH98="","No due date",IF($AI98="Closed",IF($AJ98="","Missing close date",IF($AJ98&lt;=$AH98,"On time","Late")),IF(TODAY()&gt;$AH98,"OVERDUE","In progress"))))</f>
        <v/>
      </c>
      <c r="AN98" s="35"/>
    </row>
    <row r="99" customFormat="false" ht="27.75" hidden="false" customHeight="true" outlineLevel="0" collapsed="false">
      <c r="A99" s="31" t="str">
        <f aca="false">IF($B99="","",ROW()-4)</f>
        <v/>
      </c>
      <c r="B99" s="32"/>
      <c r="C99" s="32"/>
      <c r="D99" s="33"/>
      <c r="E99" s="33"/>
      <c r="F99" s="33"/>
      <c r="G99" s="34"/>
      <c r="H99" s="33"/>
      <c r="I99" s="33"/>
      <c r="J99" s="33"/>
      <c r="K99" s="33"/>
      <c r="L99" s="35"/>
      <c r="M99" s="33"/>
      <c r="N99" s="33"/>
      <c r="O99" s="33"/>
      <c r="P99" s="33"/>
      <c r="Q99" s="35"/>
      <c r="R99" s="33"/>
      <c r="S99" s="33"/>
      <c r="T99" s="33"/>
      <c r="U99" s="33"/>
      <c r="V99" s="33"/>
      <c r="W99" s="31" t="str">
        <f aca="false">IF(OR($T99="",$U99="",$V99=""),"",$T99*$U99*$V99)</f>
        <v/>
      </c>
      <c r="X99" s="36" t="str">
        <f aca="false">IF($W99="","",IF($T99=5,"High",IF($W99&gt;=Settings!$C$20,"High",IF(OR($W99&gt;=Settings!$C$21,$T99=4),"Medium","Low"))))</f>
        <v/>
      </c>
      <c r="Y99" s="34"/>
      <c r="Z99" s="37" t="str">
        <f aca="false">IF($O99="","",$O99*Settings!$C$5)</f>
        <v/>
      </c>
      <c r="AA99" s="37" t="n">
        <f aca="false">IF(OR($H99&lt;&gt;"Complaint",$P99&lt;&gt;"Upheld",$T99=""),0,IF($G99="",Settings!$C$6,$G99)*INDEX(Settings!$C$8:$C$12,6-$T99))</f>
        <v>0</v>
      </c>
      <c r="AB99" s="37" t="str">
        <f aca="false">IF($B99="","",IF($Y99="",0,$Y99)+IF($Z99="",0,$Z99)+IF($AA99="",0,$AA99))</f>
        <v/>
      </c>
      <c r="AC99" s="35"/>
      <c r="AD99" s="33"/>
      <c r="AE99" s="36" t="str">
        <f aca="false">IF($B99="","",IF(OR($H99="Nonconformity (process)",$S99="Yes",AND(ISNUMBER($W99),$W99&gt;=Settings!$C$20)),"YES – required","No"))</f>
        <v/>
      </c>
      <c r="AF99" s="33"/>
      <c r="AG99" s="33"/>
      <c r="AH99" s="32"/>
      <c r="AI99" s="33"/>
      <c r="AJ99" s="32"/>
      <c r="AK99" s="31" t="str">
        <f aca="false">IF(OR($B99="",$AJ99=""),"",$AJ99-$B99)</f>
        <v/>
      </c>
      <c r="AL99" s="31" t="str">
        <f aca="false">IF($X99="","",INDEX(Settings!$C$15:$C$17,MATCH($X99,Settings!$B$15:$B$17,0)))</f>
        <v/>
      </c>
      <c r="AM99" s="36" t="str">
        <f aca="true">IF($B99="","",IF($AH99="","No due date",IF($AI99="Closed",IF($AJ99="","Missing close date",IF($AJ99&lt;=$AH99,"On time","Late")),IF(TODAY()&gt;$AH99,"OVERDUE","In progress"))))</f>
        <v/>
      </c>
      <c r="AN99" s="35"/>
    </row>
    <row r="100" customFormat="false" ht="27.75" hidden="false" customHeight="true" outlineLevel="0" collapsed="false">
      <c r="A100" s="31" t="str">
        <f aca="false">IF($B100="","",ROW()-4)</f>
        <v/>
      </c>
      <c r="B100" s="32"/>
      <c r="C100" s="32"/>
      <c r="D100" s="33"/>
      <c r="E100" s="33"/>
      <c r="F100" s="33"/>
      <c r="G100" s="34"/>
      <c r="H100" s="33"/>
      <c r="I100" s="33"/>
      <c r="J100" s="33"/>
      <c r="K100" s="33"/>
      <c r="L100" s="35"/>
      <c r="M100" s="33"/>
      <c r="N100" s="33"/>
      <c r="O100" s="33"/>
      <c r="P100" s="33"/>
      <c r="Q100" s="35"/>
      <c r="R100" s="33"/>
      <c r="S100" s="33"/>
      <c r="T100" s="33"/>
      <c r="U100" s="33"/>
      <c r="V100" s="33"/>
      <c r="W100" s="31" t="str">
        <f aca="false">IF(OR($T100="",$U100="",$V100=""),"",$T100*$U100*$V100)</f>
        <v/>
      </c>
      <c r="X100" s="36" t="str">
        <f aca="false">IF($W100="","",IF($T100=5,"High",IF($W100&gt;=Settings!$C$20,"High",IF(OR($W100&gt;=Settings!$C$21,$T100=4),"Medium","Low"))))</f>
        <v/>
      </c>
      <c r="Y100" s="34"/>
      <c r="Z100" s="37" t="str">
        <f aca="false">IF($O100="","",$O100*Settings!$C$5)</f>
        <v/>
      </c>
      <c r="AA100" s="37" t="n">
        <f aca="false">IF(OR($H100&lt;&gt;"Complaint",$P100&lt;&gt;"Upheld",$T100=""),0,IF($G100="",Settings!$C$6,$G100)*INDEX(Settings!$C$8:$C$12,6-$T100))</f>
        <v>0</v>
      </c>
      <c r="AB100" s="37" t="str">
        <f aca="false">IF($B100="","",IF($Y100="",0,$Y100)+IF($Z100="",0,$Z100)+IF($AA100="",0,$AA100))</f>
        <v/>
      </c>
      <c r="AC100" s="35"/>
      <c r="AD100" s="33"/>
      <c r="AE100" s="36" t="str">
        <f aca="false">IF($B100="","",IF(OR($H100="Nonconformity (process)",$S100="Yes",AND(ISNUMBER($W100),$W100&gt;=Settings!$C$20)),"YES – required","No"))</f>
        <v/>
      </c>
      <c r="AF100" s="33"/>
      <c r="AG100" s="33"/>
      <c r="AH100" s="32"/>
      <c r="AI100" s="33"/>
      <c r="AJ100" s="32"/>
      <c r="AK100" s="31" t="str">
        <f aca="false">IF(OR($B100="",$AJ100=""),"",$AJ100-$B100)</f>
        <v/>
      </c>
      <c r="AL100" s="31" t="str">
        <f aca="false">IF($X100="","",INDEX(Settings!$C$15:$C$17,MATCH($X100,Settings!$B$15:$B$17,0)))</f>
        <v/>
      </c>
      <c r="AM100" s="36" t="str">
        <f aca="true">IF($B100="","",IF($AH100="","No due date",IF($AI100="Closed",IF($AJ100="","Missing close date",IF($AJ100&lt;=$AH100,"On time","Late")),IF(TODAY()&gt;$AH100,"OVERDUE","In progress"))))</f>
        <v/>
      </c>
      <c r="AN100" s="35"/>
    </row>
    <row r="101" customFormat="false" ht="27.75" hidden="false" customHeight="true" outlineLevel="0" collapsed="false">
      <c r="A101" s="31" t="str">
        <f aca="false">IF($B101="","",ROW()-4)</f>
        <v/>
      </c>
      <c r="B101" s="32"/>
      <c r="C101" s="32"/>
      <c r="D101" s="33"/>
      <c r="E101" s="33"/>
      <c r="F101" s="33"/>
      <c r="G101" s="34"/>
      <c r="H101" s="33"/>
      <c r="I101" s="33"/>
      <c r="J101" s="33"/>
      <c r="K101" s="33"/>
      <c r="L101" s="35"/>
      <c r="M101" s="33"/>
      <c r="N101" s="33"/>
      <c r="O101" s="33"/>
      <c r="P101" s="33"/>
      <c r="Q101" s="35"/>
      <c r="R101" s="33"/>
      <c r="S101" s="33"/>
      <c r="T101" s="33"/>
      <c r="U101" s="33"/>
      <c r="V101" s="33"/>
      <c r="W101" s="31" t="str">
        <f aca="false">IF(OR($T101="",$U101="",$V101=""),"",$T101*$U101*$V101)</f>
        <v/>
      </c>
      <c r="X101" s="36" t="str">
        <f aca="false">IF($W101="","",IF($T101=5,"High",IF($W101&gt;=Settings!$C$20,"High",IF(OR($W101&gt;=Settings!$C$21,$T101=4),"Medium","Low"))))</f>
        <v/>
      </c>
      <c r="Y101" s="34"/>
      <c r="Z101" s="37" t="str">
        <f aca="false">IF($O101="","",$O101*Settings!$C$5)</f>
        <v/>
      </c>
      <c r="AA101" s="37" t="n">
        <f aca="false">IF(OR($H101&lt;&gt;"Complaint",$P101&lt;&gt;"Upheld",$T101=""),0,IF($G101="",Settings!$C$6,$G101)*INDEX(Settings!$C$8:$C$12,6-$T101))</f>
        <v>0</v>
      </c>
      <c r="AB101" s="37" t="str">
        <f aca="false">IF($B101="","",IF($Y101="",0,$Y101)+IF($Z101="",0,$Z101)+IF($AA101="",0,$AA101))</f>
        <v/>
      </c>
      <c r="AC101" s="35"/>
      <c r="AD101" s="33"/>
      <c r="AE101" s="36" t="str">
        <f aca="false">IF($B101="","",IF(OR($H101="Nonconformity (process)",$S101="Yes",AND(ISNUMBER($W101),$W101&gt;=Settings!$C$20)),"YES – required","No"))</f>
        <v/>
      </c>
      <c r="AF101" s="33"/>
      <c r="AG101" s="33"/>
      <c r="AH101" s="32"/>
      <c r="AI101" s="33"/>
      <c r="AJ101" s="32"/>
      <c r="AK101" s="31" t="str">
        <f aca="false">IF(OR($B101="",$AJ101=""),"",$AJ101-$B101)</f>
        <v/>
      </c>
      <c r="AL101" s="31" t="str">
        <f aca="false">IF($X101="","",INDEX(Settings!$C$15:$C$17,MATCH($X101,Settings!$B$15:$B$17,0)))</f>
        <v/>
      </c>
      <c r="AM101" s="36" t="str">
        <f aca="true">IF($B101="","",IF($AH101="","No due date",IF($AI101="Closed",IF($AJ101="","Missing close date",IF($AJ101&lt;=$AH101,"On time","Late")),IF(TODAY()&gt;$AH101,"OVERDUE","In progress"))))</f>
        <v/>
      </c>
      <c r="AN101" s="35"/>
    </row>
    <row r="102" customFormat="false" ht="27.75" hidden="false" customHeight="true" outlineLevel="0" collapsed="false">
      <c r="A102" s="31" t="str">
        <f aca="false">IF($B102="","",ROW()-4)</f>
        <v/>
      </c>
      <c r="B102" s="32"/>
      <c r="C102" s="32"/>
      <c r="D102" s="33"/>
      <c r="E102" s="33"/>
      <c r="F102" s="33"/>
      <c r="G102" s="34"/>
      <c r="H102" s="33"/>
      <c r="I102" s="33"/>
      <c r="J102" s="33"/>
      <c r="K102" s="33"/>
      <c r="L102" s="35"/>
      <c r="M102" s="33"/>
      <c r="N102" s="33"/>
      <c r="O102" s="33"/>
      <c r="P102" s="33"/>
      <c r="Q102" s="35"/>
      <c r="R102" s="33"/>
      <c r="S102" s="33"/>
      <c r="T102" s="33"/>
      <c r="U102" s="33"/>
      <c r="V102" s="33"/>
      <c r="W102" s="31" t="str">
        <f aca="false">IF(OR($T102="",$U102="",$V102=""),"",$T102*$U102*$V102)</f>
        <v/>
      </c>
      <c r="X102" s="36" t="str">
        <f aca="false">IF($W102="","",IF($T102=5,"High",IF($W102&gt;=Settings!$C$20,"High",IF(OR($W102&gt;=Settings!$C$21,$T102=4),"Medium","Low"))))</f>
        <v/>
      </c>
      <c r="Y102" s="34"/>
      <c r="Z102" s="37" t="str">
        <f aca="false">IF($O102="","",$O102*Settings!$C$5)</f>
        <v/>
      </c>
      <c r="AA102" s="37" t="n">
        <f aca="false">IF(OR($H102&lt;&gt;"Complaint",$P102&lt;&gt;"Upheld",$T102=""),0,IF($G102="",Settings!$C$6,$G102)*INDEX(Settings!$C$8:$C$12,6-$T102))</f>
        <v>0</v>
      </c>
      <c r="AB102" s="37" t="str">
        <f aca="false">IF($B102="","",IF($Y102="",0,$Y102)+IF($Z102="",0,$Z102)+IF($AA102="",0,$AA102))</f>
        <v/>
      </c>
      <c r="AC102" s="35"/>
      <c r="AD102" s="33"/>
      <c r="AE102" s="36" t="str">
        <f aca="false">IF($B102="","",IF(OR($H102="Nonconformity (process)",$S102="Yes",AND(ISNUMBER($W102),$W102&gt;=Settings!$C$20)),"YES – required","No"))</f>
        <v/>
      </c>
      <c r="AF102" s="33"/>
      <c r="AG102" s="33"/>
      <c r="AH102" s="32"/>
      <c r="AI102" s="33"/>
      <c r="AJ102" s="32"/>
      <c r="AK102" s="31" t="str">
        <f aca="false">IF(OR($B102="",$AJ102=""),"",$AJ102-$B102)</f>
        <v/>
      </c>
      <c r="AL102" s="31" t="str">
        <f aca="false">IF($X102="","",INDEX(Settings!$C$15:$C$17,MATCH($X102,Settings!$B$15:$B$17,0)))</f>
        <v/>
      </c>
      <c r="AM102" s="36" t="str">
        <f aca="true">IF($B102="","",IF($AH102="","No due date",IF($AI102="Closed",IF($AJ102="","Missing close date",IF($AJ102&lt;=$AH102,"On time","Late")),IF(TODAY()&gt;$AH102,"OVERDUE","In progress"))))</f>
        <v/>
      </c>
      <c r="AN102" s="35"/>
    </row>
    <row r="103" customFormat="false" ht="27.75" hidden="false" customHeight="true" outlineLevel="0" collapsed="false">
      <c r="A103" s="31" t="str">
        <f aca="false">IF($B103="","",ROW()-4)</f>
        <v/>
      </c>
      <c r="B103" s="32"/>
      <c r="C103" s="32"/>
      <c r="D103" s="33"/>
      <c r="E103" s="33"/>
      <c r="F103" s="33"/>
      <c r="G103" s="34"/>
      <c r="H103" s="33"/>
      <c r="I103" s="33"/>
      <c r="J103" s="33"/>
      <c r="K103" s="33"/>
      <c r="L103" s="35"/>
      <c r="M103" s="33"/>
      <c r="N103" s="33"/>
      <c r="O103" s="33"/>
      <c r="P103" s="33"/>
      <c r="Q103" s="35"/>
      <c r="R103" s="33"/>
      <c r="S103" s="33"/>
      <c r="T103" s="33"/>
      <c r="U103" s="33"/>
      <c r="V103" s="33"/>
      <c r="W103" s="31" t="str">
        <f aca="false">IF(OR($T103="",$U103="",$V103=""),"",$T103*$U103*$V103)</f>
        <v/>
      </c>
      <c r="X103" s="36" t="str">
        <f aca="false">IF($W103="","",IF($T103=5,"High",IF($W103&gt;=Settings!$C$20,"High",IF(OR($W103&gt;=Settings!$C$21,$T103=4),"Medium","Low"))))</f>
        <v/>
      </c>
      <c r="Y103" s="34"/>
      <c r="Z103" s="37" t="str">
        <f aca="false">IF($O103="","",$O103*Settings!$C$5)</f>
        <v/>
      </c>
      <c r="AA103" s="37" t="n">
        <f aca="false">IF(OR($H103&lt;&gt;"Complaint",$P103&lt;&gt;"Upheld",$T103=""),0,IF($G103="",Settings!$C$6,$G103)*INDEX(Settings!$C$8:$C$12,6-$T103))</f>
        <v>0</v>
      </c>
      <c r="AB103" s="37" t="str">
        <f aca="false">IF($B103="","",IF($Y103="",0,$Y103)+IF($Z103="",0,$Z103)+IF($AA103="",0,$AA103))</f>
        <v/>
      </c>
      <c r="AC103" s="35"/>
      <c r="AD103" s="33"/>
      <c r="AE103" s="36" t="str">
        <f aca="false">IF($B103="","",IF(OR($H103="Nonconformity (process)",$S103="Yes",AND(ISNUMBER($W103),$W103&gt;=Settings!$C$20)),"YES – required","No"))</f>
        <v/>
      </c>
      <c r="AF103" s="33"/>
      <c r="AG103" s="33"/>
      <c r="AH103" s="32"/>
      <c r="AI103" s="33"/>
      <c r="AJ103" s="32"/>
      <c r="AK103" s="31" t="str">
        <f aca="false">IF(OR($B103="",$AJ103=""),"",$AJ103-$B103)</f>
        <v/>
      </c>
      <c r="AL103" s="31" t="str">
        <f aca="false">IF($X103="","",INDEX(Settings!$C$15:$C$17,MATCH($X103,Settings!$B$15:$B$17,0)))</f>
        <v/>
      </c>
      <c r="AM103" s="36" t="str">
        <f aca="true">IF($B103="","",IF($AH103="","No due date",IF($AI103="Closed",IF($AJ103="","Missing close date",IF($AJ103&lt;=$AH103,"On time","Late")),IF(TODAY()&gt;$AH103,"OVERDUE","In progress"))))</f>
        <v/>
      </c>
      <c r="AN103" s="35"/>
    </row>
    <row r="104" customFormat="false" ht="27.75" hidden="false" customHeight="true" outlineLevel="0" collapsed="false">
      <c r="A104" s="31" t="str">
        <f aca="false">IF($B104="","",ROW()-4)</f>
        <v/>
      </c>
      <c r="B104" s="32"/>
      <c r="C104" s="32"/>
      <c r="D104" s="33"/>
      <c r="E104" s="33"/>
      <c r="F104" s="33"/>
      <c r="G104" s="34"/>
      <c r="H104" s="33"/>
      <c r="I104" s="33"/>
      <c r="J104" s="33"/>
      <c r="K104" s="33"/>
      <c r="L104" s="35"/>
      <c r="M104" s="33"/>
      <c r="N104" s="33"/>
      <c r="O104" s="33"/>
      <c r="P104" s="33"/>
      <c r="Q104" s="35"/>
      <c r="R104" s="33"/>
      <c r="S104" s="33"/>
      <c r="T104" s="33"/>
      <c r="U104" s="33"/>
      <c r="V104" s="33"/>
      <c r="W104" s="31" t="str">
        <f aca="false">IF(OR($T104="",$U104="",$V104=""),"",$T104*$U104*$V104)</f>
        <v/>
      </c>
      <c r="X104" s="36" t="str">
        <f aca="false">IF($W104="","",IF($T104=5,"High",IF($W104&gt;=Settings!$C$20,"High",IF(OR($W104&gt;=Settings!$C$21,$T104=4),"Medium","Low"))))</f>
        <v/>
      </c>
      <c r="Y104" s="34"/>
      <c r="Z104" s="37" t="str">
        <f aca="false">IF($O104="","",$O104*Settings!$C$5)</f>
        <v/>
      </c>
      <c r="AA104" s="37" t="n">
        <f aca="false">IF(OR($H104&lt;&gt;"Complaint",$P104&lt;&gt;"Upheld",$T104=""),0,IF($G104="",Settings!$C$6,$G104)*INDEX(Settings!$C$8:$C$12,6-$T104))</f>
        <v>0</v>
      </c>
      <c r="AB104" s="37" t="str">
        <f aca="false">IF($B104="","",IF($Y104="",0,$Y104)+IF($Z104="",0,$Z104)+IF($AA104="",0,$AA104))</f>
        <v/>
      </c>
      <c r="AC104" s="35"/>
      <c r="AD104" s="33"/>
      <c r="AE104" s="36" t="str">
        <f aca="false">IF($B104="","",IF(OR($H104="Nonconformity (process)",$S104="Yes",AND(ISNUMBER($W104),$W104&gt;=Settings!$C$20)),"YES – required","No"))</f>
        <v/>
      </c>
      <c r="AF104" s="33"/>
      <c r="AG104" s="33"/>
      <c r="AH104" s="32"/>
      <c r="AI104" s="33"/>
      <c r="AJ104" s="32"/>
      <c r="AK104" s="31" t="str">
        <f aca="false">IF(OR($B104="",$AJ104=""),"",$AJ104-$B104)</f>
        <v/>
      </c>
      <c r="AL104" s="31" t="str">
        <f aca="false">IF($X104="","",INDEX(Settings!$C$15:$C$17,MATCH($X104,Settings!$B$15:$B$17,0)))</f>
        <v/>
      </c>
      <c r="AM104" s="36" t="str">
        <f aca="true">IF($B104="","",IF($AH104="","No due date",IF($AI104="Closed",IF($AJ104="","Missing close date",IF($AJ104&lt;=$AH104,"On time","Late")),IF(TODAY()&gt;$AH104,"OVERDUE","In progress"))))</f>
        <v/>
      </c>
      <c r="AN104" s="35"/>
    </row>
    <row r="105" customFormat="false" ht="27.75" hidden="false" customHeight="true" outlineLevel="0" collapsed="false">
      <c r="A105" s="31" t="str">
        <f aca="false">IF($B105="","",ROW()-4)</f>
        <v/>
      </c>
      <c r="B105" s="32"/>
      <c r="C105" s="32"/>
      <c r="D105" s="33"/>
      <c r="E105" s="33"/>
      <c r="F105" s="33"/>
      <c r="G105" s="34"/>
      <c r="H105" s="33"/>
      <c r="I105" s="33"/>
      <c r="J105" s="33"/>
      <c r="K105" s="33"/>
      <c r="L105" s="35"/>
      <c r="M105" s="33"/>
      <c r="N105" s="33"/>
      <c r="O105" s="33"/>
      <c r="P105" s="33"/>
      <c r="Q105" s="35"/>
      <c r="R105" s="33"/>
      <c r="S105" s="33"/>
      <c r="T105" s="33"/>
      <c r="U105" s="33"/>
      <c r="V105" s="33"/>
      <c r="W105" s="31" t="str">
        <f aca="false">IF(OR($T105="",$U105="",$V105=""),"",$T105*$U105*$V105)</f>
        <v/>
      </c>
      <c r="X105" s="36" t="str">
        <f aca="false">IF($W105="","",IF($T105=5,"High",IF($W105&gt;=Settings!$C$20,"High",IF(OR($W105&gt;=Settings!$C$21,$T105=4),"Medium","Low"))))</f>
        <v/>
      </c>
      <c r="Y105" s="34"/>
      <c r="Z105" s="37" t="str">
        <f aca="false">IF($O105="","",$O105*Settings!$C$5)</f>
        <v/>
      </c>
      <c r="AA105" s="37" t="n">
        <f aca="false">IF(OR($H105&lt;&gt;"Complaint",$P105&lt;&gt;"Upheld",$T105=""),0,IF($G105="",Settings!$C$6,$G105)*INDEX(Settings!$C$8:$C$12,6-$T105))</f>
        <v>0</v>
      </c>
      <c r="AB105" s="37" t="str">
        <f aca="false">IF($B105="","",IF($Y105="",0,$Y105)+IF($Z105="",0,$Z105)+IF($AA105="",0,$AA105))</f>
        <v/>
      </c>
      <c r="AC105" s="35"/>
      <c r="AD105" s="33"/>
      <c r="AE105" s="36" t="str">
        <f aca="false">IF($B105="","",IF(OR($H105="Nonconformity (process)",$S105="Yes",AND(ISNUMBER($W105),$W105&gt;=Settings!$C$20)),"YES – required","No"))</f>
        <v/>
      </c>
      <c r="AF105" s="33"/>
      <c r="AG105" s="33"/>
      <c r="AH105" s="32"/>
      <c r="AI105" s="33"/>
      <c r="AJ105" s="32"/>
      <c r="AK105" s="31" t="str">
        <f aca="false">IF(OR($B105="",$AJ105=""),"",$AJ105-$B105)</f>
        <v/>
      </c>
      <c r="AL105" s="31" t="str">
        <f aca="false">IF($X105="","",INDEX(Settings!$C$15:$C$17,MATCH($X105,Settings!$B$15:$B$17,0)))</f>
        <v/>
      </c>
      <c r="AM105" s="36" t="str">
        <f aca="true">IF($B105="","",IF($AH105="","No due date",IF($AI105="Closed",IF($AJ105="","Missing close date",IF($AJ105&lt;=$AH105,"On time","Late")),IF(TODAY()&gt;$AH105,"OVERDUE","In progress"))))</f>
        <v/>
      </c>
      <c r="AN105" s="35"/>
    </row>
    <row r="106" customFormat="false" ht="27.75" hidden="false" customHeight="true" outlineLevel="0" collapsed="false">
      <c r="A106" s="31" t="str">
        <f aca="false">IF($B106="","",ROW()-4)</f>
        <v/>
      </c>
      <c r="B106" s="32"/>
      <c r="C106" s="32"/>
      <c r="D106" s="33"/>
      <c r="E106" s="33"/>
      <c r="F106" s="33"/>
      <c r="G106" s="34"/>
      <c r="H106" s="33"/>
      <c r="I106" s="33"/>
      <c r="J106" s="33"/>
      <c r="K106" s="33"/>
      <c r="L106" s="35"/>
      <c r="M106" s="33"/>
      <c r="N106" s="33"/>
      <c r="O106" s="33"/>
      <c r="P106" s="33"/>
      <c r="Q106" s="35"/>
      <c r="R106" s="33"/>
      <c r="S106" s="33"/>
      <c r="T106" s="33"/>
      <c r="U106" s="33"/>
      <c r="V106" s="33"/>
      <c r="W106" s="31" t="str">
        <f aca="false">IF(OR($T106="",$U106="",$V106=""),"",$T106*$U106*$V106)</f>
        <v/>
      </c>
      <c r="X106" s="36" t="str">
        <f aca="false">IF($W106="","",IF($T106=5,"High",IF($W106&gt;=Settings!$C$20,"High",IF(OR($W106&gt;=Settings!$C$21,$T106=4),"Medium","Low"))))</f>
        <v/>
      </c>
      <c r="Y106" s="34"/>
      <c r="Z106" s="37" t="str">
        <f aca="false">IF($O106="","",$O106*Settings!$C$5)</f>
        <v/>
      </c>
      <c r="AA106" s="37" t="n">
        <f aca="false">IF(OR($H106&lt;&gt;"Complaint",$P106&lt;&gt;"Upheld",$T106=""),0,IF($G106="",Settings!$C$6,$G106)*INDEX(Settings!$C$8:$C$12,6-$T106))</f>
        <v>0</v>
      </c>
      <c r="AB106" s="37" t="str">
        <f aca="false">IF($B106="","",IF($Y106="",0,$Y106)+IF($Z106="",0,$Z106)+IF($AA106="",0,$AA106))</f>
        <v/>
      </c>
      <c r="AC106" s="35"/>
      <c r="AD106" s="33"/>
      <c r="AE106" s="36" t="str">
        <f aca="false">IF($B106="","",IF(OR($H106="Nonconformity (process)",$S106="Yes",AND(ISNUMBER($W106),$W106&gt;=Settings!$C$20)),"YES – required","No"))</f>
        <v/>
      </c>
      <c r="AF106" s="33"/>
      <c r="AG106" s="33"/>
      <c r="AH106" s="32"/>
      <c r="AI106" s="33"/>
      <c r="AJ106" s="32"/>
      <c r="AK106" s="31" t="str">
        <f aca="false">IF(OR($B106="",$AJ106=""),"",$AJ106-$B106)</f>
        <v/>
      </c>
      <c r="AL106" s="31" t="str">
        <f aca="false">IF($X106="","",INDEX(Settings!$C$15:$C$17,MATCH($X106,Settings!$B$15:$B$17,0)))</f>
        <v/>
      </c>
      <c r="AM106" s="36" t="str">
        <f aca="true">IF($B106="","",IF($AH106="","No due date",IF($AI106="Closed",IF($AJ106="","Missing close date",IF($AJ106&lt;=$AH106,"On time","Late")),IF(TODAY()&gt;$AH106,"OVERDUE","In progress"))))</f>
        <v/>
      </c>
      <c r="AN106" s="35"/>
    </row>
    <row r="107" customFormat="false" ht="27.75" hidden="false" customHeight="true" outlineLevel="0" collapsed="false">
      <c r="A107" s="31" t="str">
        <f aca="false">IF($B107="","",ROW()-4)</f>
        <v/>
      </c>
      <c r="B107" s="32"/>
      <c r="C107" s="32"/>
      <c r="D107" s="33"/>
      <c r="E107" s="33"/>
      <c r="F107" s="33"/>
      <c r="G107" s="34"/>
      <c r="H107" s="33"/>
      <c r="I107" s="33"/>
      <c r="J107" s="33"/>
      <c r="K107" s="33"/>
      <c r="L107" s="35"/>
      <c r="M107" s="33"/>
      <c r="N107" s="33"/>
      <c r="O107" s="33"/>
      <c r="P107" s="33"/>
      <c r="Q107" s="35"/>
      <c r="R107" s="33"/>
      <c r="S107" s="33"/>
      <c r="T107" s="33"/>
      <c r="U107" s="33"/>
      <c r="V107" s="33"/>
      <c r="W107" s="31" t="str">
        <f aca="false">IF(OR($T107="",$U107="",$V107=""),"",$T107*$U107*$V107)</f>
        <v/>
      </c>
      <c r="X107" s="36" t="str">
        <f aca="false">IF($W107="","",IF($T107=5,"High",IF($W107&gt;=Settings!$C$20,"High",IF(OR($W107&gt;=Settings!$C$21,$T107=4),"Medium","Low"))))</f>
        <v/>
      </c>
      <c r="Y107" s="34"/>
      <c r="Z107" s="37" t="str">
        <f aca="false">IF($O107="","",$O107*Settings!$C$5)</f>
        <v/>
      </c>
      <c r="AA107" s="37" t="n">
        <f aca="false">IF(OR($H107&lt;&gt;"Complaint",$P107&lt;&gt;"Upheld",$T107=""),0,IF($G107="",Settings!$C$6,$G107)*INDEX(Settings!$C$8:$C$12,6-$T107))</f>
        <v>0</v>
      </c>
      <c r="AB107" s="37" t="str">
        <f aca="false">IF($B107="","",IF($Y107="",0,$Y107)+IF($Z107="",0,$Z107)+IF($AA107="",0,$AA107))</f>
        <v/>
      </c>
      <c r="AC107" s="35"/>
      <c r="AD107" s="33"/>
      <c r="AE107" s="36" t="str">
        <f aca="false">IF($B107="","",IF(OR($H107="Nonconformity (process)",$S107="Yes",AND(ISNUMBER($W107),$W107&gt;=Settings!$C$20)),"YES – required","No"))</f>
        <v/>
      </c>
      <c r="AF107" s="33"/>
      <c r="AG107" s="33"/>
      <c r="AH107" s="32"/>
      <c r="AI107" s="33"/>
      <c r="AJ107" s="32"/>
      <c r="AK107" s="31" t="str">
        <f aca="false">IF(OR($B107="",$AJ107=""),"",$AJ107-$B107)</f>
        <v/>
      </c>
      <c r="AL107" s="31" t="str">
        <f aca="false">IF($X107="","",INDEX(Settings!$C$15:$C$17,MATCH($X107,Settings!$B$15:$B$17,0)))</f>
        <v/>
      </c>
      <c r="AM107" s="36" t="str">
        <f aca="true">IF($B107="","",IF($AH107="","No due date",IF($AI107="Closed",IF($AJ107="","Missing close date",IF($AJ107&lt;=$AH107,"On time","Late")),IF(TODAY()&gt;$AH107,"OVERDUE","In progress"))))</f>
        <v/>
      </c>
      <c r="AN107" s="35"/>
    </row>
    <row r="108" customFormat="false" ht="27.75" hidden="false" customHeight="true" outlineLevel="0" collapsed="false">
      <c r="A108" s="31" t="str">
        <f aca="false">IF($B108="","",ROW()-4)</f>
        <v/>
      </c>
      <c r="B108" s="32"/>
      <c r="C108" s="32"/>
      <c r="D108" s="33"/>
      <c r="E108" s="33"/>
      <c r="F108" s="33"/>
      <c r="G108" s="34"/>
      <c r="H108" s="33"/>
      <c r="I108" s="33"/>
      <c r="J108" s="33"/>
      <c r="K108" s="33"/>
      <c r="L108" s="35"/>
      <c r="M108" s="33"/>
      <c r="N108" s="33"/>
      <c r="O108" s="33"/>
      <c r="P108" s="33"/>
      <c r="Q108" s="35"/>
      <c r="R108" s="33"/>
      <c r="S108" s="33"/>
      <c r="T108" s="33"/>
      <c r="U108" s="33"/>
      <c r="V108" s="33"/>
      <c r="W108" s="31" t="str">
        <f aca="false">IF(OR($T108="",$U108="",$V108=""),"",$T108*$U108*$V108)</f>
        <v/>
      </c>
      <c r="X108" s="36" t="str">
        <f aca="false">IF($W108="","",IF($T108=5,"High",IF($W108&gt;=Settings!$C$20,"High",IF(OR($W108&gt;=Settings!$C$21,$T108=4),"Medium","Low"))))</f>
        <v/>
      </c>
      <c r="Y108" s="34"/>
      <c r="Z108" s="37" t="str">
        <f aca="false">IF($O108="","",$O108*Settings!$C$5)</f>
        <v/>
      </c>
      <c r="AA108" s="37" t="n">
        <f aca="false">IF(OR($H108&lt;&gt;"Complaint",$P108&lt;&gt;"Upheld",$T108=""),0,IF($G108="",Settings!$C$6,$G108)*INDEX(Settings!$C$8:$C$12,6-$T108))</f>
        <v>0</v>
      </c>
      <c r="AB108" s="37" t="str">
        <f aca="false">IF($B108="","",IF($Y108="",0,$Y108)+IF($Z108="",0,$Z108)+IF($AA108="",0,$AA108))</f>
        <v/>
      </c>
      <c r="AC108" s="35"/>
      <c r="AD108" s="33"/>
      <c r="AE108" s="36" t="str">
        <f aca="false">IF($B108="","",IF(OR($H108="Nonconformity (process)",$S108="Yes",AND(ISNUMBER($W108),$W108&gt;=Settings!$C$20)),"YES – required","No"))</f>
        <v/>
      </c>
      <c r="AF108" s="33"/>
      <c r="AG108" s="33"/>
      <c r="AH108" s="32"/>
      <c r="AI108" s="33"/>
      <c r="AJ108" s="32"/>
      <c r="AK108" s="31" t="str">
        <f aca="false">IF(OR($B108="",$AJ108=""),"",$AJ108-$B108)</f>
        <v/>
      </c>
      <c r="AL108" s="31" t="str">
        <f aca="false">IF($X108="","",INDEX(Settings!$C$15:$C$17,MATCH($X108,Settings!$B$15:$B$17,0)))</f>
        <v/>
      </c>
      <c r="AM108" s="36" t="str">
        <f aca="true">IF($B108="","",IF($AH108="","No due date",IF($AI108="Closed",IF($AJ108="","Missing close date",IF($AJ108&lt;=$AH108,"On time","Late")),IF(TODAY()&gt;$AH108,"OVERDUE","In progress"))))</f>
        <v/>
      </c>
      <c r="AN108" s="35"/>
    </row>
    <row r="109" customFormat="false" ht="27.75" hidden="false" customHeight="true" outlineLevel="0" collapsed="false">
      <c r="A109" s="31" t="str">
        <f aca="false">IF($B109="","",ROW()-4)</f>
        <v/>
      </c>
      <c r="B109" s="32"/>
      <c r="C109" s="32"/>
      <c r="D109" s="33"/>
      <c r="E109" s="33"/>
      <c r="F109" s="33"/>
      <c r="G109" s="34"/>
      <c r="H109" s="33"/>
      <c r="I109" s="33"/>
      <c r="J109" s="33"/>
      <c r="K109" s="33"/>
      <c r="L109" s="35"/>
      <c r="M109" s="33"/>
      <c r="N109" s="33"/>
      <c r="O109" s="33"/>
      <c r="P109" s="33"/>
      <c r="Q109" s="35"/>
      <c r="R109" s="33"/>
      <c r="S109" s="33"/>
      <c r="T109" s="33"/>
      <c r="U109" s="33"/>
      <c r="V109" s="33"/>
      <c r="W109" s="31" t="str">
        <f aca="false">IF(OR($T109="",$U109="",$V109=""),"",$T109*$U109*$V109)</f>
        <v/>
      </c>
      <c r="X109" s="36" t="str">
        <f aca="false">IF($W109="","",IF($T109=5,"High",IF($W109&gt;=Settings!$C$20,"High",IF(OR($W109&gt;=Settings!$C$21,$T109=4),"Medium","Low"))))</f>
        <v/>
      </c>
      <c r="Y109" s="34"/>
      <c r="Z109" s="37" t="str">
        <f aca="false">IF($O109="","",$O109*Settings!$C$5)</f>
        <v/>
      </c>
      <c r="AA109" s="37" t="n">
        <f aca="false">IF(OR($H109&lt;&gt;"Complaint",$P109&lt;&gt;"Upheld",$T109=""),0,IF($G109="",Settings!$C$6,$G109)*INDEX(Settings!$C$8:$C$12,6-$T109))</f>
        <v>0</v>
      </c>
      <c r="AB109" s="37" t="str">
        <f aca="false">IF($B109="","",IF($Y109="",0,$Y109)+IF($Z109="",0,$Z109)+IF($AA109="",0,$AA109))</f>
        <v/>
      </c>
      <c r="AC109" s="35"/>
      <c r="AD109" s="33"/>
      <c r="AE109" s="36" t="str">
        <f aca="false">IF($B109="","",IF(OR($H109="Nonconformity (process)",$S109="Yes",AND(ISNUMBER($W109),$W109&gt;=Settings!$C$20)),"YES – required","No"))</f>
        <v/>
      </c>
      <c r="AF109" s="33"/>
      <c r="AG109" s="33"/>
      <c r="AH109" s="32"/>
      <c r="AI109" s="33"/>
      <c r="AJ109" s="32"/>
      <c r="AK109" s="31" t="str">
        <f aca="false">IF(OR($B109="",$AJ109=""),"",$AJ109-$B109)</f>
        <v/>
      </c>
      <c r="AL109" s="31" t="str">
        <f aca="false">IF($X109="","",INDEX(Settings!$C$15:$C$17,MATCH($X109,Settings!$B$15:$B$17,0)))</f>
        <v/>
      </c>
      <c r="AM109" s="36" t="str">
        <f aca="true">IF($B109="","",IF($AH109="","No due date",IF($AI109="Closed",IF($AJ109="","Missing close date",IF($AJ109&lt;=$AH109,"On time","Late")),IF(TODAY()&gt;$AH109,"OVERDUE","In progress"))))</f>
        <v/>
      </c>
      <c r="AN109" s="35"/>
    </row>
    <row r="110" customFormat="false" ht="27.75" hidden="false" customHeight="true" outlineLevel="0" collapsed="false">
      <c r="A110" s="31" t="str">
        <f aca="false">IF($B110="","",ROW()-4)</f>
        <v/>
      </c>
      <c r="B110" s="32"/>
      <c r="C110" s="32"/>
      <c r="D110" s="33"/>
      <c r="E110" s="33"/>
      <c r="F110" s="33"/>
      <c r="G110" s="34"/>
      <c r="H110" s="33"/>
      <c r="I110" s="33"/>
      <c r="J110" s="33"/>
      <c r="K110" s="33"/>
      <c r="L110" s="35"/>
      <c r="M110" s="33"/>
      <c r="N110" s="33"/>
      <c r="O110" s="33"/>
      <c r="P110" s="33"/>
      <c r="Q110" s="35"/>
      <c r="R110" s="33"/>
      <c r="S110" s="33"/>
      <c r="T110" s="33"/>
      <c r="U110" s="33"/>
      <c r="V110" s="33"/>
      <c r="W110" s="31" t="str">
        <f aca="false">IF(OR($T110="",$U110="",$V110=""),"",$T110*$U110*$V110)</f>
        <v/>
      </c>
      <c r="X110" s="36" t="str">
        <f aca="false">IF($W110="","",IF($T110=5,"High",IF($W110&gt;=Settings!$C$20,"High",IF(OR($W110&gt;=Settings!$C$21,$T110=4),"Medium","Low"))))</f>
        <v/>
      </c>
      <c r="Y110" s="34"/>
      <c r="Z110" s="37" t="str">
        <f aca="false">IF($O110="","",$O110*Settings!$C$5)</f>
        <v/>
      </c>
      <c r="AA110" s="37" t="n">
        <f aca="false">IF(OR($H110&lt;&gt;"Complaint",$P110&lt;&gt;"Upheld",$T110=""),0,IF($G110="",Settings!$C$6,$G110)*INDEX(Settings!$C$8:$C$12,6-$T110))</f>
        <v>0</v>
      </c>
      <c r="AB110" s="37" t="str">
        <f aca="false">IF($B110="","",IF($Y110="",0,$Y110)+IF($Z110="",0,$Z110)+IF($AA110="",0,$AA110))</f>
        <v/>
      </c>
      <c r="AC110" s="35"/>
      <c r="AD110" s="33"/>
      <c r="AE110" s="36" t="str">
        <f aca="false">IF($B110="","",IF(OR($H110="Nonconformity (process)",$S110="Yes",AND(ISNUMBER($W110),$W110&gt;=Settings!$C$20)),"YES – required","No"))</f>
        <v/>
      </c>
      <c r="AF110" s="33"/>
      <c r="AG110" s="33"/>
      <c r="AH110" s="32"/>
      <c r="AI110" s="33"/>
      <c r="AJ110" s="32"/>
      <c r="AK110" s="31" t="str">
        <f aca="false">IF(OR($B110="",$AJ110=""),"",$AJ110-$B110)</f>
        <v/>
      </c>
      <c r="AL110" s="31" t="str">
        <f aca="false">IF($X110="","",INDEX(Settings!$C$15:$C$17,MATCH($X110,Settings!$B$15:$B$17,0)))</f>
        <v/>
      </c>
      <c r="AM110" s="36" t="str">
        <f aca="true">IF($B110="","",IF($AH110="","No due date",IF($AI110="Closed",IF($AJ110="","Missing close date",IF($AJ110&lt;=$AH110,"On time","Late")),IF(TODAY()&gt;$AH110,"OVERDUE","In progress"))))</f>
        <v/>
      </c>
      <c r="AN110" s="35"/>
    </row>
    <row r="111" customFormat="false" ht="27.75" hidden="false" customHeight="true" outlineLevel="0" collapsed="false">
      <c r="A111" s="31" t="str">
        <f aca="false">IF($B111="","",ROW()-4)</f>
        <v/>
      </c>
      <c r="B111" s="32"/>
      <c r="C111" s="32"/>
      <c r="D111" s="33"/>
      <c r="E111" s="33"/>
      <c r="F111" s="33"/>
      <c r="G111" s="34"/>
      <c r="H111" s="33"/>
      <c r="I111" s="33"/>
      <c r="J111" s="33"/>
      <c r="K111" s="33"/>
      <c r="L111" s="35"/>
      <c r="M111" s="33"/>
      <c r="N111" s="33"/>
      <c r="O111" s="33"/>
      <c r="P111" s="33"/>
      <c r="Q111" s="35"/>
      <c r="R111" s="33"/>
      <c r="S111" s="33"/>
      <c r="T111" s="33"/>
      <c r="U111" s="33"/>
      <c r="V111" s="33"/>
      <c r="W111" s="31" t="str">
        <f aca="false">IF(OR($T111="",$U111="",$V111=""),"",$T111*$U111*$V111)</f>
        <v/>
      </c>
      <c r="X111" s="36" t="str">
        <f aca="false">IF($W111="","",IF($T111=5,"High",IF($W111&gt;=Settings!$C$20,"High",IF(OR($W111&gt;=Settings!$C$21,$T111=4),"Medium","Low"))))</f>
        <v/>
      </c>
      <c r="Y111" s="34"/>
      <c r="Z111" s="37" t="str">
        <f aca="false">IF($O111="","",$O111*Settings!$C$5)</f>
        <v/>
      </c>
      <c r="AA111" s="37" t="n">
        <f aca="false">IF(OR($H111&lt;&gt;"Complaint",$P111&lt;&gt;"Upheld",$T111=""),0,IF($G111="",Settings!$C$6,$G111)*INDEX(Settings!$C$8:$C$12,6-$T111))</f>
        <v>0</v>
      </c>
      <c r="AB111" s="37" t="str">
        <f aca="false">IF($B111="","",IF($Y111="",0,$Y111)+IF($Z111="",0,$Z111)+IF($AA111="",0,$AA111))</f>
        <v/>
      </c>
      <c r="AC111" s="35"/>
      <c r="AD111" s="33"/>
      <c r="AE111" s="36" t="str">
        <f aca="false">IF($B111="","",IF(OR($H111="Nonconformity (process)",$S111="Yes",AND(ISNUMBER($W111),$W111&gt;=Settings!$C$20)),"YES – required","No"))</f>
        <v/>
      </c>
      <c r="AF111" s="33"/>
      <c r="AG111" s="33"/>
      <c r="AH111" s="32"/>
      <c r="AI111" s="33"/>
      <c r="AJ111" s="32"/>
      <c r="AK111" s="31" t="str">
        <f aca="false">IF(OR($B111="",$AJ111=""),"",$AJ111-$B111)</f>
        <v/>
      </c>
      <c r="AL111" s="31" t="str">
        <f aca="false">IF($X111="","",INDEX(Settings!$C$15:$C$17,MATCH($X111,Settings!$B$15:$B$17,0)))</f>
        <v/>
      </c>
      <c r="AM111" s="36" t="str">
        <f aca="true">IF($B111="","",IF($AH111="","No due date",IF($AI111="Closed",IF($AJ111="","Missing close date",IF($AJ111&lt;=$AH111,"On time","Late")),IF(TODAY()&gt;$AH111,"OVERDUE","In progress"))))</f>
        <v/>
      </c>
      <c r="AN111" s="35"/>
    </row>
    <row r="112" customFormat="false" ht="27.75" hidden="false" customHeight="true" outlineLevel="0" collapsed="false">
      <c r="A112" s="31" t="str">
        <f aca="false">IF($B112="","",ROW()-4)</f>
        <v/>
      </c>
      <c r="B112" s="32"/>
      <c r="C112" s="32"/>
      <c r="D112" s="33"/>
      <c r="E112" s="33"/>
      <c r="F112" s="33"/>
      <c r="G112" s="34"/>
      <c r="H112" s="33"/>
      <c r="I112" s="33"/>
      <c r="J112" s="33"/>
      <c r="K112" s="33"/>
      <c r="L112" s="35"/>
      <c r="M112" s="33"/>
      <c r="N112" s="33"/>
      <c r="O112" s="33"/>
      <c r="P112" s="33"/>
      <c r="Q112" s="35"/>
      <c r="R112" s="33"/>
      <c r="S112" s="33"/>
      <c r="T112" s="33"/>
      <c r="U112" s="33"/>
      <c r="V112" s="33"/>
      <c r="W112" s="31" t="str">
        <f aca="false">IF(OR($T112="",$U112="",$V112=""),"",$T112*$U112*$V112)</f>
        <v/>
      </c>
      <c r="X112" s="36" t="str">
        <f aca="false">IF($W112="","",IF($T112=5,"High",IF($W112&gt;=Settings!$C$20,"High",IF(OR($W112&gt;=Settings!$C$21,$T112=4),"Medium","Low"))))</f>
        <v/>
      </c>
      <c r="Y112" s="34"/>
      <c r="Z112" s="37" t="str">
        <f aca="false">IF($O112="","",$O112*Settings!$C$5)</f>
        <v/>
      </c>
      <c r="AA112" s="37" t="n">
        <f aca="false">IF(OR($H112&lt;&gt;"Complaint",$P112&lt;&gt;"Upheld",$T112=""),0,IF($G112="",Settings!$C$6,$G112)*INDEX(Settings!$C$8:$C$12,6-$T112))</f>
        <v>0</v>
      </c>
      <c r="AB112" s="37" t="str">
        <f aca="false">IF($B112="","",IF($Y112="",0,$Y112)+IF($Z112="",0,$Z112)+IF($AA112="",0,$AA112))</f>
        <v/>
      </c>
      <c r="AC112" s="35"/>
      <c r="AD112" s="33"/>
      <c r="AE112" s="36" t="str">
        <f aca="false">IF($B112="","",IF(OR($H112="Nonconformity (process)",$S112="Yes",AND(ISNUMBER($W112),$W112&gt;=Settings!$C$20)),"YES – required","No"))</f>
        <v/>
      </c>
      <c r="AF112" s="33"/>
      <c r="AG112" s="33"/>
      <c r="AH112" s="32"/>
      <c r="AI112" s="33"/>
      <c r="AJ112" s="32"/>
      <c r="AK112" s="31" t="str">
        <f aca="false">IF(OR($B112="",$AJ112=""),"",$AJ112-$B112)</f>
        <v/>
      </c>
      <c r="AL112" s="31" t="str">
        <f aca="false">IF($X112="","",INDEX(Settings!$C$15:$C$17,MATCH($X112,Settings!$B$15:$B$17,0)))</f>
        <v/>
      </c>
      <c r="AM112" s="36" t="str">
        <f aca="true">IF($B112="","",IF($AH112="","No due date",IF($AI112="Closed",IF($AJ112="","Missing close date",IF($AJ112&lt;=$AH112,"On time","Late")),IF(TODAY()&gt;$AH112,"OVERDUE","In progress"))))</f>
        <v/>
      </c>
      <c r="AN112" s="35"/>
    </row>
    <row r="113" customFormat="false" ht="27.75" hidden="false" customHeight="true" outlineLevel="0" collapsed="false">
      <c r="A113" s="31" t="str">
        <f aca="false">IF($B113="","",ROW()-4)</f>
        <v/>
      </c>
      <c r="B113" s="32"/>
      <c r="C113" s="32"/>
      <c r="D113" s="33"/>
      <c r="E113" s="33"/>
      <c r="F113" s="33"/>
      <c r="G113" s="34"/>
      <c r="H113" s="33"/>
      <c r="I113" s="33"/>
      <c r="J113" s="33"/>
      <c r="K113" s="33"/>
      <c r="L113" s="35"/>
      <c r="M113" s="33"/>
      <c r="N113" s="33"/>
      <c r="O113" s="33"/>
      <c r="P113" s="33"/>
      <c r="Q113" s="35"/>
      <c r="R113" s="33"/>
      <c r="S113" s="33"/>
      <c r="T113" s="33"/>
      <c r="U113" s="33"/>
      <c r="V113" s="33"/>
      <c r="W113" s="31" t="str">
        <f aca="false">IF(OR($T113="",$U113="",$V113=""),"",$T113*$U113*$V113)</f>
        <v/>
      </c>
      <c r="X113" s="36" t="str">
        <f aca="false">IF($W113="","",IF($T113=5,"High",IF($W113&gt;=Settings!$C$20,"High",IF(OR($W113&gt;=Settings!$C$21,$T113=4),"Medium","Low"))))</f>
        <v/>
      </c>
      <c r="Y113" s="34"/>
      <c r="Z113" s="37" t="str">
        <f aca="false">IF($O113="","",$O113*Settings!$C$5)</f>
        <v/>
      </c>
      <c r="AA113" s="37" t="n">
        <f aca="false">IF(OR($H113&lt;&gt;"Complaint",$P113&lt;&gt;"Upheld",$T113=""),0,IF($G113="",Settings!$C$6,$G113)*INDEX(Settings!$C$8:$C$12,6-$T113))</f>
        <v>0</v>
      </c>
      <c r="AB113" s="37" t="str">
        <f aca="false">IF($B113="","",IF($Y113="",0,$Y113)+IF($Z113="",0,$Z113)+IF($AA113="",0,$AA113))</f>
        <v/>
      </c>
      <c r="AC113" s="35"/>
      <c r="AD113" s="33"/>
      <c r="AE113" s="36" t="str">
        <f aca="false">IF($B113="","",IF(OR($H113="Nonconformity (process)",$S113="Yes",AND(ISNUMBER($W113),$W113&gt;=Settings!$C$20)),"YES – required","No"))</f>
        <v/>
      </c>
      <c r="AF113" s="33"/>
      <c r="AG113" s="33"/>
      <c r="AH113" s="32"/>
      <c r="AI113" s="33"/>
      <c r="AJ113" s="32"/>
      <c r="AK113" s="31" t="str">
        <f aca="false">IF(OR($B113="",$AJ113=""),"",$AJ113-$B113)</f>
        <v/>
      </c>
      <c r="AL113" s="31" t="str">
        <f aca="false">IF($X113="","",INDEX(Settings!$C$15:$C$17,MATCH($X113,Settings!$B$15:$B$17,0)))</f>
        <v/>
      </c>
      <c r="AM113" s="36" t="str">
        <f aca="true">IF($B113="","",IF($AH113="","No due date",IF($AI113="Closed",IF($AJ113="","Missing close date",IF($AJ113&lt;=$AH113,"On time","Late")),IF(TODAY()&gt;$AH113,"OVERDUE","In progress"))))</f>
        <v/>
      </c>
      <c r="AN113" s="35"/>
    </row>
    <row r="114" customFormat="false" ht="27.75" hidden="false" customHeight="true" outlineLevel="0" collapsed="false">
      <c r="A114" s="31" t="str">
        <f aca="false">IF($B114="","",ROW()-4)</f>
        <v/>
      </c>
      <c r="B114" s="32"/>
      <c r="C114" s="32"/>
      <c r="D114" s="33"/>
      <c r="E114" s="33"/>
      <c r="F114" s="33"/>
      <c r="G114" s="34"/>
      <c r="H114" s="33"/>
      <c r="I114" s="33"/>
      <c r="J114" s="33"/>
      <c r="K114" s="33"/>
      <c r="L114" s="35"/>
      <c r="M114" s="33"/>
      <c r="N114" s="33"/>
      <c r="O114" s="33"/>
      <c r="P114" s="33"/>
      <c r="Q114" s="35"/>
      <c r="R114" s="33"/>
      <c r="S114" s="33"/>
      <c r="T114" s="33"/>
      <c r="U114" s="33"/>
      <c r="V114" s="33"/>
      <c r="W114" s="31" t="str">
        <f aca="false">IF(OR($T114="",$U114="",$V114=""),"",$T114*$U114*$V114)</f>
        <v/>
      </c>
      <c r="X114" s="36" t="str">
        <f aca="false">IF($W114="","",IF($T114=5,"High",IF($W114&gt;=Settings!$C$20,"High",IF(OR($W114&gt;=Settings!$C$21,$T114=4),"Medium","Low"))))</f>
        <v/>
      </c>
      <c r="Y114" s="34"/>
      <c r="Z114" s="37" t="str">
        <f aca="false">IF($O114="","",$O114*Settings!$C$5)</f>
        <v/>
      </c>
      <c r="AA114" s="37" t="n">
        <f aca="false">IF(OR($H114&lt;&gt;"Complaint",$P114&lt;&gt;"Upheld",$T114=""),0,IF($G114="",Settings!$C$6,$G114)*INDEX(Settings!$C$8:$C$12,6-$T114))</f>
        <v>0</v>
      </c>
      <c r="AB114" s="37" t="str">
        <f aca="false">IF($B114="","",IF($Y114="",0,$Y114)+IF($Z114="",0,$Z114)+IF($AA114="",0,$AA114))</f>
        <v/>
      </c>
      <c r="AC114" s="35"/>
      <c r="AD114" s="33"/>
      <c r="AE114" s="36" t="str">
        <f aca="false">IF($B114="","",IF(OR($H114="Nonconformity (process)",$S114="Yes",AND(ISNUMBER($W114),$W114&gt;=Settings!$C$20)),"YES – required","No"))</f>
        <v/>
      </c>
      <c r="AF114" s="33"/>
      <c r="AG114" s="33"/>
      <c r="AH114" s="32"/>
      <c r="AI114" s="33"/>
      <c r="AJ114" s="32"/>
      <c r="AK114" s="31" t="str">
        <f aca="false">IF(OR($B114="",$AJ114=""),"",$AJ114-$B114)</f>
        <v/>
      </c>
      <c r="AL114" s="31" t="str">
        <f aca="false">IF($X114="","",INDEX(Settings!$C$15:$C$17,MATCH($X114,Settings!$B$15:$B$17,0)))</f>
        <v/>
      </c>
      <c r="AM114" s="36" t="str">
        <f aca="true">IF($B114="","",IF($AH114="","No due date",IF($AI114="Closed",IF($AJ114="","Missing close date",IF($AJ114&lt;=$AH114,"On time","Late")),IF(TODAY()&gt;$AH114,"OVERDUE","In progress"))))</f>
        <v/>
      </c>
      <c r="AN114" s="35"/>
    </row>
    <row r="115" customFormat="false" ht="27.75" hidden="false" customHeight="true" outlineLevel="0" collapsed="false">
      <c r="A115" s="31" t="str">
        <f aca="false">IF($B115="","",ROW()-4)</f>
        <v/>
      </c>
      <c r="B115" s="32"/>
      <c r="C115" s="32"/>
      <c r="D115" s="33"/>
      <c r="E115" s="33"/>
      <c r="F115" s="33"/>
      <c r="G115" s="34"/>
      <c r="H115" s="33"/>
      <c r="I115" s="33"/>
      <c r="J115" s="33"/>
      <c r="K115" s="33"/>
      <c r="L115" s="35"/>
      <c r="M115" s="33"/>
      <c r="N115" s="33"/>
      <c r="O115" s="33"/>
      <c r="P115" s="33"/>
      <c r="Q115" s="35"/>
      <c r="R115" s="33"/>
      <c r="S115" s="33"/>
      <c r="T115" s="33"/>
      <c r="U115" s="33"/>
      <c r="V115" s="33"/>
      <c r="W115" s="31" t="str">
        <f aca="false">IF(OR($T115="",$U115="",$V115=""),"",$T115*$U115*$V115)</f>
        <v/>
      </c>
      <c r="X115" s="36" t="str">
        <f aca="false">IF($W115="","",IF($T115=5,"High",IF($W115&gt;=Settings!$C$20,"High",IF(OR($W115&gt;=Settings!$C$21,$T115=4),"Medium","Low"))))</f>
        <v/>
      </c>
      <c r="Y115" s="34"/>
      <c r="Z115" s="37" t="str">
        <f aca="false">IF($O115="","",$O115*Settings!$C$5)</f>
        <v/>
      </c>
      <c r="AA115" s="37" t="n">
        <f aca="false">IF(OR($H115&lt;&gt;"Complaint",$P115&lt;&gt;"Upheld",$T115=""),0,IF($G115="",Settings!$C$6,$G115)*INDEX(Settings!$C$8:$C$12,6-$T115))</f>
        <v>0</v>
      </c>
      <c r="AB115" s="37" t="str">
        <f aca="false">IF($B115="","",IF($Y115="",0,$Y115)+IF($Z115="",0,$Z115)+IF($AA115="",0,$AA115))</f>
        <v/>
      </c>
      <c r="AC115" s="35"/>
      <c r="AD115" s="33"/>
      <c r="AE115" s="36" t="str">
        <f aca="false">IF($B115="","",IF(OR($H115="Nonconformity (process)",$S115="Yes",AND(ISNUMBER($W115),$W115&gt;=Settings!$C$20)),"YES – required","No"))</f>
        <v/>
      </c>
      <c r="AF115" s="33"/>
      <c r="AG115" s="33"/>
      <c r="AH115" s="32"/>
      <c r="AI115" s="33"/>
      <c r="AJ115" s="32"/>
      <c r="AK115" s="31" t="str">
        <f aca="false">IF(OR($B115="",$AJ115=""),"",$AJ115-$B115)</f>
        <v/>
      </c>
      <c r="AL115" s="31" t="str">
        <f aca="false">IF($X115="","",INDEX(Settings!$C$15:$C$17,MATCH($X115,Settings!$B$15:$B$17,0)))</f>
        <v/>
      </c>
      <c r="AM115" s="36" t="str">
        <f aca="true">IF($B115="","",IF($AH115="","No due date",IF($AI115="Closed",IF($AJ115="","Missing close date",IF($AJ115&lt;=$AH115,"On time","Late")),IF(TODAY()&gt;$AH115,"OVERDUE","In progress"))))</f>
        <v/>
      </c>
      <c r="AN115" s="35"/>
    </row>
    <row r="116" customFormat="false" ht="27.75" hidden="false" customHeight="true" outlineLevel="0" collapsed="false">
      <c r="A116" s="31" t="str">
        <f aca="false">IF($B116="","",ROW()-4)</f>
        <v/>
      </c>
      <c r="B116" s="32"/>
      <c r="C116" s="32"/>
      <c r="D116" s="33"/>
      <c r="E116" s="33"/>
      <c r="F116" s="33"/>
      <c r="G116" s="34"/>
      <c r="H116" s="33"/>
      <c r="I116" s="33"/>
      <c r="J116" s="33"/>
      <c r="K116" s="33"/>
      <c r="L116" s="35"/>
      <c r="M116" s="33"/>
      <c r="N116" s="33"/>
      <c r="O116" s="33"/>
      <c r="P116" s="33"/>
      <c r="Q116" s="35"/>
      <c r="R116" s="33"/>
      <c r="S116" s="33"/>
      <c r="T116" s="33"/>
      <c r="U116" s="33"/>
      <c r="V116" s="33"/>
      <c r="W116" s="31" t="str">
        <f aca="false">IF(OR($T116="",$U116="",$V116=""),"",$T116*$U116*$V116)</f>
        <v/>
      </c>
      <c r="X116" s="36" t="str">
        <f aca="false">IF($W116="","",IF($T116=5,"High",IF($W116&gt;=Settings!$C$20,"High",IF(OR($W116&gt;=Settings!$C$21,$T116=4),"Medium","Low"))))</f>
        <v/>
      </c>
      <c r="Y116" s="34"/>
      <c r="Z116" s="37" t="str">
        <f aca="false">IF($O116="","",$O116*Settings!$C$5)</f>
        <v/>
      </c>
      <c r="AA116" s="37" t="n">
        <f aca="false">IF(OR($H116&lt;&gt;"Complaint",$P116&lt;&gt;"Upheld",$T116=""),0,IF($G116="",Settings!$C$6,$G116)*INDEX(Settings!$C$8:$C$12,6-$T116))</f>
        <v>0</v>
      </c>
      <c r="AB116" s="37" t="str">
        <f aca="false">IF($B116="","",IF($Y116="",0,$Y116)+IF($Z116="",0,$Z116)+IF($AA116="",0,$AA116))</f>
        <v/>
      </c>
      <c r="AC116" s="35"/>
      <c r="AD116" s="33"/>
      <c r="AE116" s="36" t="str">
        <f aca="false">IF($B116="","",IF(OR($H116="Nonconformity (process)",$S116="Yes",AND(ISNUMBER($W116),$W116&gt;=Settings!$C$20)),"YES – required","No"))</f>
        <v/>
      </c>
      <c r="AF116" s="33"/>
      <c r="AG116" s="33"/>
      <c r="AH116" s="32"/>
      <c r="AI116" s="33"/>
      <c r="AJ116" s="32"/>
      <c r="AK116" s="31" t="str">
        <f aca="false">IF(OR($B116="",$AJ116=""),"",$AJ116-$B116)</f>
        <v/>
      </c>
      <c r="AL116" s="31" t="str">
        <f aca="false">IF($X116="","",INDEX(Settings!$C$15:$C$17,MATCH($X116,Settings!$B$15:$B$17,0)))</f>
        <v/>
      </c>
      <c r="AM116" s="36" t="str">
        <f aca="true">IF($B116="","",IF($AH116="","No due date",IF($AI116="Closed",IF($AJ116="","Missing close date",IF($AJ116&lt;=$AH116,"On time","Late")),IF(TODAY()&gt;$AH116,"OVERDUE","In progress"))))</f>
        <v/>
      </c>
      <c r="AN116" s="35"/>
    </row>
    <row r="117" customFormat="false" ht="27.75" hidden="false" customHeight="true" outlineLevel="0" collapsed="false">
      <c r="A117" s="31" t="str">
        <f aca="false">IF($B117="","",ROW()-4)</f>
        <v/>
      </c>
      <c r="B117" s="32"/>
      <c r="C117" s="32"/>
      <c r="D117" s="33"/>
      <c r="E117" s="33"/>
      <c r="F117" s="33"/>
      <c r="G117" s="34"/>
      <c r="H117" s="33"/>
      <c r="I117" s="33"/>
      <c r="J117" s="33"/>
      <c r="K117" s="33"/>
      <c r="L117" s="35"/>
      <c r="M117" s="33"/>
      <c r="N117" s="33"/>
      <c r="O117" s="33"/>
      <c r="P117" s="33"/>
      <c r="Q117" s="35"/>
      <c r="R117" s="33"/>
      <c r="S117" s="33"/>
      <c r="T117" s="33"/>
      <c r="U117" s="33"/>
      <c r="V117" s="33"/>
      <c r="W117" s="31" t="str">
        <f aca="false">IF(OR($T117="",$U117="",$V117=""),"",$T117*$U117*$V117)</f>
        <v/>
      </c>
      <c r="X117" s="36" t="str">
        <f aca="false">IF($W117="","",IF($T117=5,"High",IF($W117&gt;=Settings!$C$20,"High",IF(OR($W117&gt;=Settings!$C$21,$T117=4),"Medium","Low"))))</f>
        <v/>
      </c>
      <c r="Y117" s="34"/>
      <c r="Z117" s="37" t="str">
        <f aca="false">IF($O117="","",$O117*Settings!$C$5)</f>
        <v/>
      </c>
      <c r="AA117" s="37" t="n">
        <f aca="false">IF(OR($H117&lt;&gt;"Complaint",$P117&lt;&gt;"Upheld",$T117=""),0,IF($G117="",Settings!$C$6,$G117)*INDEX(Settings!$C$8:$C$12,6-$T117))</f>
        <v>0</v>
      </c>
      <c r="AB117" s="37" t="str">
        <f aca="false">IF($B117="","",IF($Y117="",0,$Y117)+IF($Z117="",0,$Z117)+IF($AA117="",0,$AA117))</f>
        <v/>
      </c>
      <c r="AC117" s="35"/>
      <c r="AD117" s="33"/>
      <c r="AE117" s="36" t="str">
        <f aca="false">IF($B117="","",IF(OR($H117="Nonconformity (process)",$S117="Yes",AND(ISNUMBER($W117),$W117&gt;=Settings!$C$20)),"YES – required","No"))</f>
        <v/>
      </c>
      <c r="AF117" s="33"/>
      <c r="AG117" s="33"/>
      <c r="AH117" s="32"/>
      <c r="AI117" s="33"/>
      <c r="AJ117" s="32"/>
      <c r="AK117" s="31" t="str">
        <f aca="false">IF(OR($B117="",$AJ117=""),"",$AJ117-$B117)</f>
        <v/>
      </c>
      <c r="AL117" s="31" t="str">
        <f aca="false">IF($X117="","",INDEX(Settings!$C$15:$C$17,MATCH($X117,Settings!$B$15:$B$17,0)))</f>
        <v/>
      </c>
      <c r="AM117" s="36" t="str">
        <f aca="true">IF($B117="","",IF($AH117="","No due date",IF($AI117="Closed",IF($AJ117="","Missing close date",IF($AJ117&lt;=$AH117,"On time","Late")),IF(TODAY()&gt;$AH117,"OVERDUE","In progress"))))</f>
        <v/>
      </c>
      <c r="AN117" s="35"/>
    </row>
    <row r="118" customFormat="false" ht="27.75" hidden="false" customHeight="true" outlineLevel="0" collapsed="false">
      <c r="A118" s="31" t="str">
        <f aca="false">IF($B118="","",ROW()-4)</f>
        <v/>
      </c>
      <c r="B118" s="32"/>
      <c r="C118" s="32"/>
      <c r="D118" s="33"/>
      <c r="E118" s="33"/>
      <c r="F118" s="33"/>
      <c r="G118" s="34"/>
      <c r="H118" s="33"/>
      <c r="I118" s="33"/>
      <c r="J118" s="33"/>
      <c r="K118" s="33"/>
      <c r="L118" s="35"/>
      <c r="M118" s="33"/>
      <c r="N118" s="33"/>
      <c r="O118" s="33"/>
      <c r="P118" s="33"/>
      <c r="Q118" s="35"/>
      <c r="R118" s="33"/>
      <c r="S118" s="33"/>
      <c r="T118" s="33"/>
      <c r="U118" s="33"/>
      <c r="V118" s="33"/>
      <c r="W118" s="31" t="str">
        <f aca="false">IF(OR($T118="",$U118="",$V118=""),"",$T118*$U118*$V118)</f>
        <v/>
      </c>
      <c r="X118" s="36" t="str">
        <f aca="false">IF($W118="","",IF($T118=5,"High",IF($W118&gt;=Settings!$C$20,"High",IF(OR($W118&gt;=Settings!$C$21,$T118=4),"Medium","Low"))))</f>
        <v/>
      </c>
      <c r="Y118" s="34"/>
      <c r="Z118" s="37" t="str">
        <f aca="false">IF($O118="","",$O118*Settings!$C$5)</f>
        <v/>
      </c>
      <c r="AA118" s="37" t="n">
        <f aca="false">IF(OR($H118&lt;&gt;"Complaint",$P118&lt;&gt;"Upheld",$T118=""),0,IF($G118="",Settings!$C$6,$G118)*INDEX(Settings!$C$8:$C$12,6-$T118))</f>
        <v>0</v>
      </c>
      <c r="AB118" s="37" t="str">
        <f aca="false">IF($B118="","",IF($Y118="",0,$Y118)+IF($Z118="",0,$Z118)+IF($AA118="",0,$AA118))</f>
        <v/>
      </c>
      <c r="AC118" s="35"/>
      <c r="AD118" s="33"/>
      <c r="AE118" s="36" t="str">
        <f aca="false">IF($B118="","",IF(OR($H118="Nonconformity (process)",$S118="Yes",AND(ISNUMBER($W118),$W118&gt;=Settings!$C$20)),"YES – required","No"))</f>
        <v/>
      </c>
      <c r="AF118" s="33"/>
      <c r="AG118" s="33"/>
      <c r="AH118" s="32"/>
      <c r="AI118" s="33"/>
      <c r="AJ118" s="32"/>
      <c r="AK118" s="31" t="str">
        <f aca="false">IF(OR($B118="",$AJ118=""),"",$AJ118-$B118)</f>
        <v/>
      </c>
      <c r="AL118" s="31" t="str">
        <f aca="false">IF($X118="","",INDEX(Settings!$C$15:$C$17,MATCH($X118,Settings!$B$15:$B$17,0)))</f>
        <v/>
      </c>
      <c r="AM118" s="36" t="str">
        <f aca="true">IF($B118="","",IF($AH118="","No due date",IF($AI118="Closed",IF($AJ118="","Missing close date",IF($AJ118&lt;=$AH118,"On time","Late")),IF(TODAY()&gt;$AH118,"OVERDUE","In progress"))))</f>
        <v/>
      </c>
      <c r="AN118" s="35"/>
    </row>
    <row r="119" customFormat="false" ht="27.75" hidden="false" customHeight="true" outlineLevel="0" collapsed="false">
      <c r="A119" s="31" t="str">
        <f aca="false">IF($B119="","",ROW()-4)</f>
        <v/>
      </c>
      <c r="B119" s="32"/>
      <c r="C119" s="32"/>
      <c r="D119" s="33"/>
      <c r="E119" s="33"/>
      <c r="F119" s="33"/>
      <c r="G119" s="34"/>
      <c r="H119" s="33"/>
      <c r="I119" s="33"/>
      <c r="J119" s="33"/>
      <c r="K119" s="33"/>
      <c r="L119" s="35"/>
      <c r="M119" s="33"/>
      <c r="N119" s="33"/>
      <c r="O119" s="33"/>
      <c r="P119" s="33"/>
      <c r="Q119" s="35"/>
      <c r="R119" s="33"/>
      <c r="S119" s="33"/>
      <c r="T119" s="33"/>
      <c r="U119" s="33"/>
      <c r="V119" s="33"/>
      <c r="W119" s="31" t="str">
        <f aca="false">IF(OR($T119="",$U119="",$V119=""),"",$T119*$U119*$V119)</f>
        <v/>
      </c>
      <c r="X119" s="36" t="str">
        <f aca="false">IF($W119="","",IF($T119=5,"High",IF($W119&gt;=Settings!$C$20,"High",IF(OR($W119&gt;=Settings!$C$21,$T119=4),"Medium","Low"))))</f>
        <v/>
      </c>
      <c r="Y119" s="34"/>
      <c r="Z119" s="37" t="str">
        <f aca="false">IF($O119="","",$O119*Settings!$C$5)</f>
        <v/>
      </c>
      <c r="AA119" s="37" t="n">
        <f aca="false">IF(OR($H119&lt;&gt;"Complaint",$P119&lt;&gt;"Upheld",$T119=""),0,IF($G119="",Settings!$C$6,$G119)*INDEX(Settings!$C$8:$C$12,6-$T119))</f>
        <v>0</v>
      </c>
      <c r="AB119" s="37" t="str">
        <f aca="false">IF($B119="","",IF($Y119="",0,$Y119)+IF($Z119="",0,$Z119)+IF($AA119="",0,$AA119))</f>
        <v/>
      </c>
      <c r="AC119" s="35"/>
      <c r="AD119" s="33"/>
      <c r="AE119" s="36" t="str">
        <f aca="false">IF($B119="","",IF(OR($H119="Nonconformity (process)",$S119="Yes",AND(ISNUMBER($W119),$W119&gt;=Settings!$C$20)),"YES – required","No"))</f>
        <v/>
      </c>
      <c r="AF119" s="33"/>
      <c r="AG119" s="33"/>
      <c r="AH119" s="32"/>
      <c r="AI119" s="33"/>
      <c r="AJ119" s="32"/>
      <c r="AK119" s="31" t="str">
        <f aca="false">IF(OR($B119="",$AJ119=""),"",$AJ119-$B119)</f>
        <v/>
      </c>
      <c r="AL119" s="31" t="str">
        <f aca="false">IF($X119="","",INDEX(Settings!$C$15:$C$17,MATCH($X119,Settings!$B$15:$B$17,0)))</f>
        <v/>
      </c>
      <c r="AM119" s="36" t="str">
        <f aca="true">IF($B119="","",IF($AH119="","No due date",IF($AI119="Closed",IF($AJ119="","Missing close date",IF($AJ119&lt;=$AH119,"On time","Late")),IF(TODAY()&gt;$AH119,"OVERDUE","In progress"))))</f>
        <v/>
      </c>
      <c r="AN119" s="35"/>
    </row>
    <row r="120" customFormat="false" ht="27.75" hidden="false" customHeight="true" outlineLevel="0" collapsed="false">
      <c r="A120" s="31" t="str">
        <f aca="false">IF($B120="","",ROW()-4)</f>
        <v/>
      </c>
      <c r="B120" s="32"/>
      <c r="C120" s="32"/>
      <c r="D120" s="33"/>
      <c r="E120" s="33"/>
      <c r="F120" s="33"/>
      <c r="G120" s="34"/>
      <c r="H120" s="33"/>
      <c r="I120" s="33"/>
      <c r="J120" s="33"/>
      <c r="K120" s="33"/>
      <c r="L120" s="35"/>
      <c r="M120" s="33"/>
      <c r="N120" s="33"/>
      <c r="O120" s="33"/>
      <c r="P120" s="33"/>
      <c r="Q120" s="35"/>
      <c r="R120" s="33"/>
      <c r="S120" s="33"/>
      <c r="T120" s="33"/>
      <c r="U120" s="33"/>
      <c r="V120" s="33"/>
      <c r="W120" s="31" t="str">
        <f aca="false">IF(OR($T120="",$U120="",$V120=""),"",$T120*$U120*$V120)</f>
        <v/>
      </c>
      <c r="X120" s="36" t="str">
        <f aca="false">IF($W120="","",IF($T120=5,"High",IF($W120&gt;=Settings!$C$20,"High",IF(OR($W120&gt;=Settings!$C$21,$T120=4),"Medium","Low"))))</f>
        <v/>
      </c>
      <c r="Y120" s="34"/>
      <c r="Z120" s="37" t="str">
        <f aca="false">IF($O120="","",$O120*Settings!$C$5)</f>
        <v/>
      </c>
      <c r="AA120" s="37" t="n">
        <f aca="false">IF(OR($H120&lt;&gt;"Complaint",$P120&lt;&gt;"Upheld",$T120=""),0,IF($G120="",Settings!$C$6,$G120)*INDEX(Settings!$C$8:$C$12,6-$T120))</f>
        <v>0</v>
      </c>
      <c r="AB120" s="37" t="str">
        <f aca="false">IF($B120="","",IF($Y120="",0,$Y120)+IF($Z120="",0,$Z120)+IF($AA120="",0,$AA120))</f>
        <v/>
      </c>
      <c r="AC120" s="35"/>
      <c r="AD120" s="33"/>
      <c r="AE120" s="36" t="str">
        <f aca="false">IF($B120="","",IF(OR($H120="Nonconformity (process)",$S120="Yes",AND(ISNUMBER($W120),$W120&gt;=Settings!$C$20)),"YES – required","No"))</f>
        <v/>
      </c>
      <c r="AF120" s="33"/>
      <c r="AG120" s="33"/>
      <c r="AH120" s="32"/>
      <c r="AI120" s="33"/>
      <c r="AJ120" s="32"/>
      <c r="AK120" s="31" t="str">
        <f aca="false">IF(OR($B120="",$AJ120=""),"",$AJ120-$B120)</f>
        <v/>
      </c>
      <c r="AL120" s="31" t="str">
        <f aca="false">IF($X120="","",INDEX(Settings!$C$15:$C$17,MATCH($X120,Settings!$B$15:$B$17,0)))</f>
        <v/>
      </c>
      <c r="AM120" s="36" t="str">
        <f aca="true">IF($B120="","",IF($AH120="","No due date",IF($AI120="Closed",IF($AJ120="","Missing close date",IF($AJ120&lt;=$AH120,"On time","Late")),IF(TODAY()&gt;$AH120,"OVERDUE","In progress"))))</f>
        <v/>
      </c>
      <c r="AN120" s="35"/>
    </row>
    <row r="121" customFormat="false" ht="27.75" hidden="false" customHeight="true" outlineLevel="0" collapsed="false">
      <c r="A121" s="31" t="str">
        <f aca="false">IF($B121="","",ROW()-4)</f>
        <v/>
      </c>
      <c r="B121" s="32"/>
      <c r="C121" s="32"/>
      <c r="D121" s="33"/>
      <c r="E121" s="33"/>
      <c r="F121" s="33"/>
      <c r="G121" s="34"/>
      <c r="H121" s="33"/>
      <c r="I121" s="33"/>
      <c r="J121" s="33"/>
      <c r="K121" s="33"/>
      <c r="L121" s="35"/>
      <c r="M121" s="33"/>
      <c r="N121" s="33"/>
      <c r="O121" s="33"/>
      <c r="P121" s="33"/>
      <c r="Q121" s="35"/>
      <c r="R121" s="33"/>
      <c r="S121" s="33"/>
      <c r="T121" s="33"/>
      <c r="U121" s="33"/>
      <c r="V121" s="33"/>
      <c r="W121" s="31" t="str">
        <f aca="false">IF(OR($T121="",$U121="",$V121=""),"",$T121*$U121*$V121)</f>
        <v/>
      </c>
      <c r="X121" s="36" t="str">
        <f aca="false">IF($W121="","",IF($T121=5,"High",IF($W121&gt;=Settings!$C$20,"High",IF(OR($W121&gt;=Settings!$C$21,$T121=4),"Medium","Low"))))</f>
        <v/>
      </c>
      <c r="Y121" s="34"/>
      <c r="Z121" s="37" t="str">
        <f aca="false">IF($O121="","",$O121*Settings!$C$5)</f>
        <v/>
      </c>
      <c r="AA121" s="37" t="n">
        <f aca="false">IF(OR($H121&lt;&gt;"Complaint",$P121&lt;&gt;"Upheld",$T121=""),0,IF($G121="",Settings!$C$6,$G121)*INDEX(Settings!$C$8:$C$12,6-$T121))</f>
        <v>0</v>
      </c>
      <c r="AB121" s="37" t="str">
        <f aca="false">IF($B121="","",IF($Y121="",0,$Y121)+IF($Z121="",0,$Z121)+IF($AA121="",0,$AA121))</f>
        <v/>
      </c>
      <c r="AC121" s="35"/>
      <c r="AD121" s="33"/>
      <c r="AE121" s="36" t="str">
        <f aca="false">IF($B121="","",IF(OR($H121="Nonconformity (process)",$S121="Yes",AND(ISNUMBER($W121),$W121&gt;=Settings!$C$20)),"YES – required","No"))</f>
        <v/>
      </c>
      <c r="AF121" s="33"/>
      <c r="AG121" s="33"/>
      <c r="AH121" s="32"/>
      <c r="AI121" s="33"/>
      <c r="AJ121" s="32"/>
      <c r="AK121" s="31" t="str">
        <f aca="false">IF(OR($B121="",$AJ121=""),"",$AJ121-$B121)</f>
        <v/>
      </c>
      <c r="AL121" s="31" t="str">
        <f aca="false">IF($X121="","",INDEX(Settings!$C$15:$C$17,MATCH($X121,Settings!$B$15:$B$17,0)))</f>
        <v/>
      </c>
      <c r="AM121" s="36" t="str">
        <f aca="true">IF($B121="","",IF($AH121="","No due date",IF($AI121="Closed",IF($AJ121="","Missing close date",IF($AJ121&lt;=$AH121,"On time","Late")),IF(TODAY()&gt;$AH121,"OVERDUE","In progress"))))</f>
        <v/>
      </c>
      <c r="AN121" s="35"/>
    </row>
    <row r="122" customFormat="false" ht="27.75" hidden="false" customHeight="true" outlineLevel="0" collapsed="false">
      <c r="A122" s="31" t="str">
        <f aca="false">IF($B122="","",ROW()-4)</f>
        <v/>
      </c>
      <c r="B122" s="32"/>
      <c r="C122" s="32"/>
      <c r="D122" s="33"/>
      <c r="E122" s="33"/>
      <c r="F122" s="33"/>
      <c r="G122" s="34"/>
      <c r="H122" s="33"/>
      <c r="I122" s="33"/>
      <c r="J122" s="33"/>
      <c r="K122" s="33"/>
      <c r="L122" s="35"/>
      <c r="M122" s="33"/>
      <c r="N122" s="33"/>
      <c r="O122" s="33"/>
      <c r="P122" s="33"/>
      <c r="Q122" s="35"/>
      <c r="R122" s="33"/>
      <c r="S122" s="33"/>
      <c r="T122" s="33"/>
      <c r="U122" s="33"/>
      <c r="V122" s="33"/>
      <c r="W122" s="31" t="str">
        <f aca="false">IF(OR($T122="",$U122="",$V122=""),"",$T122*$U122*$V122)</f>
        <v/>
      </c>
      <c r="X122" s="36" t="str">
        <f aca="false">IF($W122="","",IF($T122=5,"High",IF($W122&gt;=Settings!$C$20,"High",IF(OR($W122&gt;=Settings!$C$21,$T122=4),"Medium","Low"))))</f>
        <v/>
      </c>
      <c r="Y122" s="34"/>
      <c r="Z122" s="37" t="str">
        <f aca="false">IF($O122="","",$O122*Settings!$C$5)</f>
        <v/>
      </c>
      <c r="AA122" s="37" t="n">
        <f aca="false">IF(OR($H122&lt;&gt;"Complaint",$P122&lt;&gt;"Upheld",$T122=""),0,IF($G122="",Settings!$C$6,$G122)*INDEX(Settings!$C$8:$C$12,6-$T122))</f>
        <v>0</v>
      </c>
      <c r="AB122" s="37" t="str">
        <f aca="false">IF($B122="","",IF($Y122="",0,$Y122)+IF($Z122="",0,$Z122)+IF($AA122="",0,$AA122))</f>
        <v/>
      </c>
      <c r="AC122" s="35"/>
      <c r="AD122" s="33"/>
      <c r="AE122" s="36" t="str">
        <f aca="false">IF($B122="","",IF(OR($H122="Nonconformity (process)",$S122="Yes",AND(ISNUMBER($W122),$W122&gt;=Settings!$C$20)),"YES – required","No"))</f>
        <v/>
      </c>
      <c r="AF122" s="33"/>
      <c r="AG122" s="33"/>
      <c r="AH122" s="32"/>
      <c r="AI122" s="33"/>
      <c r="AJ122" s="32"/>
      <c r="AK122" s="31" t="str">
        <f aca="false">IF(OR($B122="",$AJ122=""),"",$AJ122-$B122)</f>
        <v/>
      </c>
      <c r="AL122" s="31" t="str">
        <f aca="false">IF($X122="","",INDEX(Settings!$C$15:$C$17,MATCH($X122,Settings!$B$15:$B$17,0)))</f>
        <v/>
      </c>
      <c r="AM122" s="36" t="str">
        <f aca="true">IF($B122="","",IF($AH122="","No due date",IF($AI122="Closed",IF($AJ122="","Missing close date",IF($AJ122&lt;=$AH122,"On time","Late")),IF(TODAY()&gt;$AH122,"OVERDUE","In progress"))))</f>
        <v/>
      </c>
      <c r="AN122" s="35"/>
    </row>
    <row r="123" customFormat="false" ht="27.75" hidden="false" customHeight="true" outlineLevel="0" collapsed="false">
      <c r="A123" s="31" t="str">
        <f aca="false">IF($B123="","",ROW()-4)</f>
        <v/>
      </c>
      <c r="B123" s="32"/>
      <c r="C123" s="32"/>
      <c r="D123" s="33"/>
      <c r="E123" s="33"/>
      <c r="F123" s="33"/>
      <c r="G123" s="34"/>
      <c r="H123" s="33"/>
      <c r="I123" s="33"/>
      <c r="J123" s="33"/>
      <c r="K123" s="33"/>
      <c r="L123" s="35"/>
      <c r="M123" s="33"/>
      <c r="N123" s="33"/>
      <c r="O123" s="33"/>
      <c r="P123" s="33"/>
      <c r="Q123" s="35"/>
      <c r="R123" s="33"/>
      <c r="S123" s="33"/>
      <c r="T123" s="33"/>
      <c r="U123" s="33"/>
      <c r="V123" s="33"/>
      <c r="W123" s="31" t="str">
        <f aca="false">IF(OR($T123="",$U123="",$V123=""),"",$T123*$U123*$V123)</f>
        <v/>
      </c>
      <c r="X123" s="36" t="str">
        <f aca="false">IF($W123="","",IF($T123=5,"High",IF($W123&gt;=Settings!$C$20,"High",IF(OR($W123&gt;=Settings!$C$21,$T123=4),"Medium","Low"))))</f>
        <v/>
      </c>
      <c r="Y123" s="34"/>
      <c r="Z123" s="37" t="str">
        <f aca="false">IF($O123="","",$O123*Settings!$C$5)</f>
        <v/>
      </c>
      <c r="AA123" s="37" t="n">
        <f aca="false">IF(OR($H123&lt;&gt;"Complaint",$P123&lt;&gt;"Upheld",$T123=""),0,IF($G123="",Settings!$C$6,$G123)*INDEX(Settings!$C$8:$C$12,6-$T123))</f>
        <v>0</v>
      </c>
      <c r="AB123" s="37" t="str">
        <f aca="false">IF($B123="","",IF($Y123="",0,$Y123)+IF($Z123="",0,$Z123)+IF($AA123="",0,$AA123))</f>
        <v/>
      </c>
      <c r="AC123" s="35"/>
      <c r="AD123" s="33"/>
      <c r="AE123" s="36" t="str">
        <f aca="false">IF($B123="","",IF(OR($H123="Nonconformity (process)",$S123="Yes",AND(ISNUMBER($W123),$W123&gt;=Settings!$C$20)),"YES – required","No"))</f>
        <v/>
      </c>
      <c r="AF123" s="33"/>
      <c r="AG123" s="33"/>
      <c r="AH123" s="32"/>
      <c r="AI123" s="33"/>
      <c r="AJ123" s="32"/>
      <c r="AK123" s="31" t="str">
        <f aca="false">IF(OR($B123="",$AJ123=""),"",$AJ123-$B123)</f>
        <v/>
      </c>
      <c r="AL123" s="31" t="str">
        <f aca="false">IF($X123="","",INDEX(Settings!$C$15:$C$17,MATCH($X123,Settings!$B$15:$B$17,0)))</f>
        <v/>
      </c>
      <c r="AM123" s="36" t="str">
        <f aca="true">IF($B123="","",IF($AH123="","No due date",IF($AI123="Closed",IF($AJ123="","Missing close date",IF($AJ123&lt;=$AH123,"On time","Late")),IF(TODAY()&gt;$AH123,"OVERDUE","In progress"))))</f>
        <v/>
      </c>
      <c r="AN123" s="35"/>
    </row>
    <row r="124" customFormat="false" ht="27.75" hidden="false" customHeight="true" outlineLevel="0" collapsed="false">
      <c r="A124" s="31" t="str">
        <f aca="false">IF($B124="","",ROW()-4)</f>
        <v/>
      </c>
      <c r="B124" s="32"/>
      <c r="C124" s="32"/>
      <c r="D124" s="33"/>
      <c r="E124" s="33"/>
      <c r="F124" s="33"/>
      <c r="G124" s="34"/>
      <c r="H124" s="33"/>
      <c r="I124" s="33"/>
      <c r="J124" s="33"/>
      <c r="K124" s="33"/>
      <c r="L124" s="35"/>
      <c r="M124" s="33"/>
      <c r="N124" s="33"/>
      <c r="O124" s="33"/>
      <c r="P124" s="33"/>
      <c r="Q124" s="35"/>
      <c r="R124" s="33"/>
      <c r="S124" s="33"/>
      <c r="T124" s="33"/>
      <c r="U124" s="33"/>
      <c r="V124" s="33"/>
      <c r="W124" s="31" t="str">
        <f aca="false">IF(OR($T124="",$U124="",$V124=""),"",$T124*$U124*$V124)</f>
        <v/>
      </c>
      <c r="X124" s="36" t="str">
        <f aca="false">IF($W124="","",IF($T124=5,"High",IF($W124&gt;=Settings!$C$20,"High",IF(OR($W124&gt;=Settings!$C$21,$T124=4),"Medium","Low"))))</f>
        <v/>
      </c>
      <c r="Y124" s="34"/>
      <c r="Z124" s="37" t="str">
        <f aca="false">IF($O124="","",$O124*Settings!$C$5)</f>
        <v/>
      </c>
      <c r="AA124" s="37" t="n">
        <f aca="false">IF(OR($H124&lt;&gt;"Complaint",$P124&lt;&gt;"Upheld",$T124=""),0,IF($G124="",Settings!$C$6,$G124)*INDEX(Settings!$C$8:$C$12,6-$T124))</f>
        <v>0</v>
      </c>
      <c r="AB124" s="37" t="str">
        <f aca="false">IF($B124="","",IF($Y124="",0,$Y124)+IF($Z124="",0,$Z124)+IF($AA124="",0,$AA124))</f>
        <v/>
      </c>
      <c r="AC124" s="35"/>
      <c r="AD124" s="33"/>
      <c r="AE124" s="36" t="str">
        <f aca="false">IF($B124="","",IF(OR($H124="Nonconformity (process)",$S124="Yes",AND(ISNUMBER($W124),$W124&gt;=Settings!$C$20)),"YES – required","No"))</f>
        <v/>
      </c>
      <c r="AF124" s="33"/>
      <c r="AG124" s="33"/>
      <c r="AH124" s="32"/>
      <c r="AI124" s="33"/>
      <c r="AJ124" s="32"/>
      <c r="AK124" s="31" t="str">
        <f aca="false">IF(OR($B124="",$AJ124=""),"",$AJ124-$B124)</f>
        <v/>
      </c>
      <c r="AL124" s="31" t="str">
        <f aca="false">IF($X124="","",INDEX(Settings!$C$15:$C$17,MATCH($X124,Settings!$B$15:$B$17,0)))</f>
        <v/>
      </c>
      <c r="AM124" s="36" t="str">
        <f aca="true">IF($B124="","",IF($AH124="","No due date",IF($AI124="Closed",IF($AJ124="","Missing close date",IF($AJ124&lt;=$AH124,"On time","Late")),IF(TODAY()&gt;$AH124,"OVERDUE","In progress"))))</f>
        <v/>
      </c>
      <c r="AN124" s="35"/>
    </row>
    <row r="125" customFormat="false" ht="27.75" hidden="false" customHeight="true" outlineLevel="0" collapsed="false">
      <c r="A125" s="31" t="str">
        <f aca="false">IF($B125="","",ROW()-4)</f>
        <v/>
      </c>
      <c r="B125" s="32"/>
      <c r="C125" s="32"/>
      <c r="D125" s="33"/>
      <c r="E125" s="33"/>
      <c r="F125" s="33"/>
      <c r="G125" s="34"/>
      <c r="H125" s="33"/>
      <c r="I125" s="33"/>
      <c r="J125" s="33"/>
      <c r="K125" s="33"/>
      <c r="L125" s="35"/>
      <c r="M125" s="33"/>
      <c r="N125" s="33"/>
      <c r="O125" s="33"/>
      <c r="P125" s="33"/>
      <c r="Q125" s="35"/>
      <c r="R125" s="33"/>
      <c r="S125" s="33"/>
      <c r="T125" s="33"/>
      <c r="U125" s="33"/>
      <c r="V125" s="33"/>
      <c r="W125" s="31" t="str">
        <f aca="false">IF(OR($T125="",$U125="",$V125=""),"",$T125*$U125*$V125)</f>
        <v/>
      </c>
      <c r="X125" s="36" t="str">
        <f aca="false">IF($W125="","",IF($T125=5,"High",IF($W125&gt;=Settings!$C$20,"High",IF(OR($W125&gt;=Settings!$C$21,$T125=4),"Medium","Low"))))</f>
        <v/>
      </c>
      <c r="Y125" s="34"/>
      <c r="Z125" s="37" t="str">
        <f aca="false">IF($O125="","",$O125*Settings!$C$5)</f>
        <v/>
      </c>
      <c r="AA125" s="37" t="n">
        <f aca="false">IF(OR($H125&lt;&gt;"Complaint",$P125&lt;&gt;"Upheld",$T125=""),0,IF($G125="",Settings!$C$6,$G125)*INDEX(Settings!$C$8:$C$12,6-$T125))</f>
        <v>0</v>
      </c>
      <c r="AB125" s="37" t="str">
        <f aca="false">IF($B125="","",IF($Y125="",0,$Y125)+IF($Z125="",0,$Z125)+IF($AA125="",0,$AA125))</f>
        <v/>
      </c>
      <c r="AC125" s="35"/>
      <c r="AD125" s="33"/>
      <c r="AE125" s="36" t="str">
        <f aca="false">IF($B125="","",IF(OR($H125="Nonconformity (process)",$S125="Yes",AND(ISNUMBER($W125),$W125&gt;=Settings!$C$20)),"YES – required","No"))</f>
        <v/>
      </c>
      <c r="AF125" s="33"/>
      <c r="AG125" s="33"/>
      <c r="AH125" s="32"/>
      <c r="AI125" s="33"/>
      <c r="AJ125" s="32"/>
      <c r="AK125" s="31" t="str">
        <f aca="false">IF(OR($B125="",$AJ125=""),"",$AJ125-$B125)</f>
        <v/>
      </c>
      <c r="AL125" s="31" t="str">
        <f aca="false">IF($X125="","",INDEX(Settings!$C$15:$C$17,MATCH($X125,Settings!$B$15:$B$17,0)))</f>
        <v/>
      </c>
      <c r="AM125" s="36" t="str">
        <f aca="true">IF($B125="","",IF($AH125="","No due date",IF($AI125="Closed",IF($AJ125="","Missing close date",IF($AJ125&lt;=$AH125,"On time","Late")),IF(TODAY()&gt;$AH125,"OVERDUE","In progress"))))</f>
        <v/>
      </c>
      <c r="AN125" s="35"/>
    </row>
    <row r="126" customFormat="false" ht="27.75" hidden="false" customHeight="true" outlineLevel="0" collapsed="false">
      <c r="A126" s="31" t="str">
        <f aca="false">IF($B126="","",ROW()-4)</f>
        <v/>
      </c>
      <c r="B126" s="32"/>
      <c r="C126" s="32"/>
      <c r="D126" s="33"/>
      <c r="E126" s="33"/>
      <c r="F126" s="33"/>
      <c r="G126" s="34"/>
      <c r="H126" s="33"/>
      <c r="I126" s="33"/>
      <c r="J126" s="33"/>
      <c r="K126" s="33"/>
      <c r="L126" s="35"/>
      <c r="M126" s="33"/>
      <c r="N126" s="33"/>
      <c r="O126" s="33"/>
      <c r="P126" s="33"/>
      <c r="Q126" s="35"/>
      <c r="R126" s="33"/>
      <c r="S126" s="33"/>
      <c r="T126" s="33"/>
      <c r="U126" s="33"/>
      <c r="V126" s="33"/>
      <c r="W126" s="31" t="str">
        <f aca="false">IF(OR($T126="",$U126="",$V126=""),"",$T126*$U126*$V126)</f>
        <v/>
      </c>
      <c r="X126" s="36" t="str">
        <f aca="false">IF($W126="","",IF($T126=5,"High",IF($W126&gt;=Settings!$C$20,"High",IF(OR($W126&gt;=Settings!$C$21,$T126=4),"Medium","Low"))))</f>
        <v/>
      </c>
      <c r="Y126" s="34"/>
      <c r="Z126" s="37" t="str">
        <f aca="false">IF($O126="","",$O126*Settings!$C$5)</f>
        <v/>
      </c>
      <c r="AA126" s="37" t="n">
        <f aca="false">IF(OR($H126&lt;&gt;"Complaint",$P126&lt;&gt;"Upheld",$T126=""),0,IF($G126="",Settings!$C$6,$G126)*INDEX(Settings!$C$8:$C$12,6-$T126))</f>
        <v>0</v>
      </c>
      <c r="AB126" s="37" t="str">
        <f aca="false">IF($B126="","",IF($Y126="",0,$Y126)+IF($Z126="",0,$Z126)+IF($AA126="",0,$AA126))</f>
        <v/>
      </c>
      <c r="AC126" s="35"/>
      <c r="AD126" s="33"/>
      <c r="AE126" s="36" t="str">
        <f aca="false">IF($B126="","",IF(OR($H126="Nonconformity (process)",$S126="Yes",AND(ISNUMBER($W126),$W126&gt;=Settings!$C$20)),"YES – required","No"))</f>
        <v/>
      </c>
      <c r="AF126" s="33"/>
      <c r="AG126" s="33"/>
      <c r="AH126" s="32"/>
      <c r="AI126" s="33"/>
      <c r="AJ126" s="32"/>
      <c r="AK126" s="31" t="str">
        <f aca="false">IF(OR($B126="",$AJ126=""),"",$AJ126-$B126)</f>
        <v/>
      </c>
      <c r="AL126" s="31" t="str">
        <f aca="false">IF($X126="","",INDEX(Settings!$C$15:$C$17,MATCH($X126,Settings!$B$15:$B$17,0)))</f>
        <v/>
      </c>
      <c r="AM126" s="36" t="str">
        <f aca="true">IF($B126="","",IF($AH126="","No due date",IF($AI126="Closed",IF($AJ126="","Missing close date",IF($AJ126&lt;=$AH126,"On time","Late")),IF(TODAY()&gt;$AH126,"OVERDUE","In progress"))))</f>
        <v/>
      </c>
      <c r="AN126" s="35"/>
    </row>
    <row r="127" customFormat="false" ht="27.75" hidden="false" customHeight="true" outlineLevel="0" collapsed="false">
      <c r="A127" s="31" t="str">
        <f aca="false">IF($B127="","",ROW()-4)</f>
        <v/>
      </c>
      <c r="B127" s="32"/>
      <c r="C127" s="32"/>
      <c r="D127" s="33"/>
      <c r="E127" s="33"/>
      <c r="F127" s="33"/>
      <c r="G127" s="34"/>
      <c r="H127" s="33"/>
      <c r="I127" s="33"/>
      <c r="J127" s="33"/>
      <c r="K127" s="33"/>
      <c r="L127" s="35"/>
      <c r="M127" s="33"/>
      <c r="N127" s="33"/>
      <c r="O127" s="33"/>
      <c r="P127" s="33"/>
      <c r="Q127" s="35"/>
      <c r="R127" s="33"/>
      <c r="S127" s="33"/>
      <c r="T127" s="33"/>
      <c r="U127" s="33"/>
      <c r="V127" s="33"/>
      <c r="W127" s="31" t="str">
        <f aca="false">IF(OR($T127="",$U127="",$V127=""),"",$T127*$U127*$V127)</f>
        <v/>
      </c>
      <c r="X127" s="36" t="str">
        <f aca="false">IF($W127="","",IF($T127=5,"High",IF($W127&gt;=Settings!$C$20,"High",IF(OR($W127&gt;=Settings!$C$21,$T127=4),"Medium","Low"))))</f>
        <v/>
      </c>
      <c r="Y127" s="34"/>
      <c r="Z127" s="37" t="str">
        <f aca="false">IF($O127="","",$O127*Settings!$C$5)</f>
        <v/>
      </c>
      <c r="AA127" s="37" t="n">
        <f aca="false">IF(OR($H127&lt;&gt;"Complaint",$P127&lt;&gt;"Upheld",$T127=""),0,IF($G127="",Settings!$C$6,$G127)*INDEX(Settings!$C$8:$C$12,6-$T127))</f>
        <v>0</v>
      </c>
      <c r="AB127" s="37" t="str">
        <f aca="false">IF($B127="","",IF($Y127="",0,$Y127)+IF($Z127="",0,$Z127)+IF($AA127="",0,$AA127))</f>
        <v/>
      </c>
      <c r="AC127" s="35"/>
      <c r="AD127" s="33"/>
      <c r="AE127" s="36" t="str">
        <f aca="false">IF($B127="","",IF(OR($H127="Nonconformity (process)",$S127="Yes",AND(ISNUMBER($W127),$W127&gt;=Settings!$C$20)),"YES – required","No"))</f>
        <v/>
      </c>
      <c r="AF127" s="33"/>
      <c r="AG127" s="33"/>
      <c r="AH127" s="32"/>
      <c r="AI127" s="33"/>
      <c r="AJ127" s="32"/>
      <c r="AK127" s="31" t="str">
        <f aca="false">IF(OR($B127="",$AJ127=""),"",$AJ127-$B127)</f>
        <v/>
      </c>
      <c r="AL127" s="31" t="str">
        <f aca="false">IF($X127="","",INDEX(Settings!$C$15:$C$17,MATCH($X127,Settings!$B$15:$B$17,0)))</f>
        <v/>
      </c>
      <c r="AM127" s="36" t="str">
        <f aca="true">IF($B127="","",IF($AH127="","No due date",IF($AI127="Closed",IF($AJ127="","Missing close date",IF($AJ127&lt;=$AH127,"On time","Late")),IF(TODAY()&gt;$AH127,"OVERDUE","In progress"))))</f>
        <v/>
      </c>
      <c r="AN127" s="35"/>
    </row>
    <row r="128" customFormat="false" ht="27.75" hidden="false" customHeight="true" outlineLevel="0" collapsed="false">
      <c r="A128" s="31" t="str">
        <f aca="false">IF($B128="","",ROW()-4)</f>
        <v/>
      </c>
      <c r="B128" s="32"/>
      <c r="C128" s="32"/>
      <c r="D128" s="33"/>
      <c r="E128" s="33"/>
      <c r="F128" s="33"/>
      <c r="G128" s="34"/>
      <c r="H128" s="33"/>
      <c r="I128" s="33"/>
      <c r="J128" s="33"/>
      <c r="K128" s="33"/>
      <c r="L128" s="35"/>
      <c r="M128" s="33"/>
      <c r="N128" s="33"/>
      <c r="O128" s="33"/>
      <c r="P128" s="33"/>
      <c r="Q128" s="35"/>
      <c r="R128" s="33"/>
      <c r="S128" s="33"/>
      <c r="T128" s="33"/>
      <c r="U128" s="33"/>
      <c r="V128" s="33"/>
      <c r="W128" s="31" t="str">
        <f aca="false">IF(OR($T128="",$U128="",$V128=""),"",$T128*$U128*$V128)</f>
        <v/>
      </c>
      <c r="X128" s="36" t="str">
        <f aca="false">IF($W128="","",IF($T128=5,"High",IF($W128&gt;=Settings!$C$20,"High",IF(OR($W128&gt;=Settings!$C$21,$T128=4),"Medium","Low"))))</f>
        <v/>
      </c>
      <c r="Y128" s="34"/>
      <c r="Z128" s="37" t="str">
        <f aca="false">IF($O128="","",$O128*Settings!$C$5)</f>
        <v/>
      </c>
      <c r="AA128" s="37" t="n">
        <f aca="false">IF(OR($H128&lt;&gt;"Complaint",$P128&lt;&gt;"Upheld",$T128=""),0,IF($G128="",Settings!$C$6,$G128)*INDEX(Settings!$C$8:$C$12,6-$T128))</f>
        <v>0</v>
      </c>
      <c r="AB128" s="37" t="str">
        <f aca="false">IF($B128="","",IF($Y128="",0,$Y128)+IF($Z128="",0,$Z128)+IF($AA128="",0,$AA128))</f>
        <v/>
      </c>
      <c r="AC128" s="35"/>
      <c r="AD128" s="33"/>
      <c r="AE128" s="36" t="str">
        <f aca="false">IF($B128="","",IF(OR($H128="Nonconformity (process)",$S128="Yes",AND(ISNUMBER($W128),$W128&gt;=Settings!$C$20)),"YES – required","No"))</f>
        <v/>
      </c>
      <c r="AF128" s="33"/>
      <c r="AG128" s="33"/>
      <c r="AH128" s="32"/>
      <c r="AI128" s="33"/>
      <c r="AJ128" s="32"/>
      <c r="AK128" s="31" t="str">
        <f aca="false">IF(OR($B128="",$AJ128=""),"",$AJ128-$B128)</f>
        <v/>
      </c>
      <c r="AL128" s="31" t="str">
        <f aca="false">IF($X128="","",INDEX(Settings!$C$15:$C$17,MATCH($X128,Settings!$B$15:$B$17,0)))</f>
        <v/>
      </c>
      <c r="AM128" s="36" t="str">
        <f aca="true">IF($B128="","",IF($AH128="","No due date",IF($AI128="Closed",IF($AJ128="","Missing close date",IF($AJ128&lt;=$AH128,"On time","Late")),IF(TODAY()&gt;$AH128,"OVERDUE","In progress"))))</f>
        <v/>
      </c>
      <c r="AN128" s="35"/>
    </row>
    <row r="129" customFormat="false" ht="27.75" hidden="false" customHeight="true" outlineLevel="0" collapsed="false">
      <c r="A129" s="31" t="str">
        <f aca="false">IF($B129="","",ROW()-4)</f>
        <v/>
      </c>
      <c r="B129" s="32"/>
      <c r="C129" s="32"/>
      <c r="D129" s="33"/>
      <c r="E129" s="33"/>
      <c r="F129" s="33"/>
      <c r="G129" s="34"/>
      <c r="H129" s="33"/>
      <c r="I129" s="33"/>
      <c r="J129" s="33"/>
      <c r="K129" s="33"/>
      <c r="L129" s="35"/>
      <c r="M129" s="33"/>
      <c r="N129" s="33"/>
      <c r="O129" s="33"/>
      <c r="P129" s="33"/>
      <c r="Q129" s="35"/>
      <c r="R129" s="33"/>
      <c r="S129" s="33"/>
      <c r="T129" s="33"/>
      <c r="U129" s="33"/>
      <c r="V129" s="33"/>
      <c r="W129" s="31" t="str">
        <f aca="false">IF(OR($T129="",$U129="",$V129=""),"",$T129*$U129*$V129)</f>
        <v/>
      </c>
      <c r="X129" s="36" t="str">
        <f aca="false">IF($W129="","",IF($T129=5,"High",IF($W129&gt;=Settings!$C$20,"High",IF(OR($W129&gt;=Settings!$C$21,$T129=4),"Medium","Low"))))</f>
        <v/>
      </c>
      <c r="Y129" s="34"/>
      <c r="Z129" s="37" t="str">
        <f aca="false">IF($O129="","",$O129*Settings!$C$5)</f>
        <v/>
      </c>
      <c r="AA129" s="37" t="n">
        <f aca="false">IF(OR($H129&lt;&gt;"Complaint",$P129&lt;&gt;"Upheld",$T129=""),0,IF($G129="",Settings!$C$6,$G129)*INDEX(Settings!$C$8:$C$12,6-$T129))</f>
        <v>0</v>
      </c>
      <c r="AB129" s="37" t="str">
        <f aca="false">IF($B129="","",IF($Y129="",0,$Y129)+IF($Z129="",0,$Z129)+IF($AA129="",0,$AA129))</f>
        <v/>
      </c>
      <c r="AC129" s="35"/>
      <c r="AD129" s="33"/>
      <c r="AE129" s="36" t="str">
        <f aca="false">IF($B129="","",IF(OR($H129="Nonconformity (process)",$S129="Yes",AND(ISNUMBER($W129),$W129&gt;=Settings!$C$20)),"YES – required","No"))</f>
        <v/>
      </c>
      <c r="AF129" s="33"/>
      <c r="AG129" s="33"/>
      <c r="AH129" s="32"/>
      <c r="AI129" s="33"/>
      <c r="AJ129" s="32"/>
      <c r="AK129" s="31" t="str">
        <f aca="false">IF(OR($B129="",$AJ129=""),"",$AJ129-$B129)</f>
        <v/>
      </c>
      <c r="AL129" s="31" t="str">
        <f aca="false">IF($X129="","",INDEX(Settings!$C$15:$C$17,MATCH($X129,Settings!$B$15:$B$17,0)))</f>
        <v/>
      </c>
      <c r="AM129" s="36" t="str">
        <f aca="true">IF($B129="","",IF($AH129="","No due date",IF($AI129="Closed",IF($AJ129="","Missing close date",IF($AJ129&lt;=$AH129,"On time","Late")),IF(TODAY()&gt;$AH129,"OVERDUE","In progress"))))</f>
        <v/>
      </c>
      <c r="AN129" s="35"/>
    </row>
    <row r="130" customFormat="false" ht="27.75" hidden="false" customHeight="true" outlineLevel="0" collapsed="false">
      <c r="A130" s="31" t="str">
        <f aca="false">IF($B130="","",ROW()-4)</f>
        <v/>
      </c>
      <c r="B130" s="32"/>
      <c r="C130" s="32"/>
      <c r="D130" s="33"/>
      <c r="E130" s="33"/>
      <c r="F130" s="33"/>
      <c r="G130" s="34"/>
      <c r="H130" s="33"/>
      <c r="I130" s="33"/>
      <c r="J130" s="33"/>
      <c r="K130" s="33"/>
      <c r="L130" s="35"/>
      <c r="M130" s="33"/>
      <c r="N130" s="33"/>
      <c r="O130" s="33"/>
      <c r="P130" s="33"/>
      <c r="Q130" s="35"/>
      <c r="R130" s="33"/>
      <c r="S130" s="33"/>
      <c r="T130" s="33"/>
      <c r="U130" s="33"/>
      <c r="V130" s="33"/>
      <c r="W130" s="31" t="str">
        <f aca="false">IF(OR($T130="",$U130="",$V130=""),"",$T130*$U130*$V130)</f>
        <v/>
      </c>
      <c r="X130" s="36" t="str">
        <f aca="false">IF($W130="","",IF($T130=5,"High",IF($W130&gt;=Settings!$C$20,"High",IF(OR($W130&gt;=Settings!$C$21,$T130=4),"Medium","Low"))))</f>
        <v/>
      </c>
      <c r="Y130" s="34"/>
      <c r="Z130" s="37" t="str">
        <f aca="false">IF($O130="","",$O130*Settings!$C$5)</f>
        <v/>
      </c>
      <c r="AA130" s="37" t="n">
        <f aca="false">IF(OR($H130&lt;&gt;"Complaint",$P130&lt;&gt;"Upheld",$T130=""),0,IF($G130="",Settings!$C$6,$G130)*INDEX(Settings!$C$8:$C$12,6-$T130))</f>
        <v>0</v>
      </c>
      <c r="AB130" s="37" t="str">
        <f aca="false">IF($B130="","",IF($Y130="",0,$Y130)+IF($Z130="",0,$Z130)+IF($AA130="",0,$AA130))</f>
        <v/>
      </c>
      <c r="AC130" s="35"/>
      <c r="AD130" s="33"/>
      <c r="AE130" s="36" t="str">
        <f aca="false">IF($B130="","",IF(OR($H130="Nonconformity (process)",$S130="Yes",AND(ISNUMBER($W130),$W130&gt;=Settings!$C$20)),"YES – required","No"))</f>
        <v/>
      </c>
      <c r="AF130" s="33"/>
      <c r="AG130" s="33"/>
      <c r="AH130" s="32"/>
      <c r="AI130" s="33"/>
      <c r="AJ130" s="32"/>
      <c r="AK130" s="31" t="str">
        <f aca="false">IF(OR($B130="",$AJ130=""),"",$AJ130-$B130)</f>
        <v/>
      </c>
      <c r="AL130" s="31" t="str">
        <f aca="false">IF($X130="","",INDEX(Settings!$C$15:$C$17,MATCH($X130,Settings!$B$15:$B$17,0)))</f>
        <v/>
      </c>
      <c r="AM130" s="36" t="str">
        <f aca="true">IF($B130="","",IF($AH130="","No due date",IF($AI130="Closed",IF($AJ130="","Missing close date",IF($AJ130&lt;=$AH130,"On time","Late")),IF(TODAY()&gt;$AH130,"OVERDUE","In progress"))))</f>
        <v/>
      </c>
      <c r="AN130" s="35"/>
    </row>
    <row r="131" customFormat="false" ht="27.75" hidden="false" customHeight="true" outlineLevel="0" collapsed="false">
      <c r="A131" s="31" t="str">
        <f aca="false">IF($B131="","",ROW()-4)</f>
        <v/>
      </c>
      <c r="B131" s="32"/>
      <c r="C131" s="32"/>
      <c r="D131" s="33"/>
      <c r="E131" s="33"/>
      <c r="F131" s="33"/>
      <c r="G131" s="34"/>
      <c r="H131" s="33"/>
      <c r="I131" s="33"/>
      <c r="J131" s="33"/>
      <c r="K131" s="33"/>
      <c r="L131" s="35"/>
      <c r="M131" s="33"/>
      <c r="N131" s="33"/>
      <c r="O131" s="33"/>
      <c r="P131" s="33"/>
      <c r="Q131" s="35"/>
      <c r="R131" s="33"/>
      <c r="S131" s="33"/>
      <c r="T131" s="33"/>
      <c r="U131" s="33"/>
      <c r="V131" s="33"/>
      <c r="W131" s="31" t="str">
        <f aca="false">IF(OR($T131="",$U131="",$V131=""),"",$T131*$U131*$V131)</f>
        <v/>
      </c>
      <c r="X131" s="36" t="str">
        <f aca="false">IF($W131="","",IF($T131=5,"High",IF($W131&gt;=Settings!$C$20,"High",IF(OR($W131&gt;=Settings!$C$21,$T131=4),"Medium","Low"))))</f>
        <v/>
      </c>
      <c r="Y131" s="34"/>
      <c r="Z131" s="37" t="str">
        <f aca="false">IF($O131="","",$O131*Settings!$C$5)</f>
        <v/>
      </c>
      <c r="AA131" s="37" t="n">
        <f aca="false">IF(OR($H131&lt;&gt;"Complaint",$P131&lt;&gt;"Upheld",$T131=""),0,IF($G131="",Settings!$C$6,$G131)*INDEX(Settings!$C$8:$C$12,6-$T131))</f>
        <v>0</v>
      </c>
      <c r="AB131" s="37" t="str">
        <f aca="false">IF($B131="","",IF($Y131="",0,$Y131)+IF($Z131="",0,$Z131)+IF($AA131="",0,$AA131))</f>
        <v/>
      </c>
      <c r="AC131" s="35"/>
      <c r="AD131" s="33"/>
      <c r="AE131" s="36" t="str">
        <f aca="false">IF($B131="","",IF(OR($H131="Nonconformity (process)",$S131="Yes",AND(ISNUMBER($W131),$W131&gt;=Settings!$C$20)),"YES – required","No"))</f>
        <v/>
      </c>
      <c r="AF131" s="33"/>
      <c r="AG131" s="33"/>
      <c r="AH131" s="32"/>
      <c r="AI131" s="33"/>
      <c r="AJ131" s="32"/>
      <c r="AK131" s="31" t="str">
        <f aca="false">IF(OR($B131="",$AJ131=""),"",$AJ131-$B131)</f>
        <v/>
      </c>
      <c r="AL131" s="31" t="str">
        <f aca="false">IF($X131="","",INDEX(Settings!$C$15:$C$17,MATCH($X131,Settings!$B$15:$B$17,0)))</f>
        <v/>
      </c>
      <c r="AM131" s="36" t="str">
        <f aca="true">IF($B131="","",IF($AH131="","No due date",IF($AI131="Closed",IF($AJ131="","Missing close date",IF($AJ131&lt;=$AH131,"On time","Late")),IF(TODAY()&gt;$AH131,"OVERDUE","In progress"))))</f>
        <v/>
      </c>
      <c r="AN131" s="35"/>
    </row>
    <row r="132" customFormat="false" ht="27.75" hidden="false" customHeight="true" outlineLevel="0" collapsed="false">
      <c r="A132" s="31" t="str">
        <f aca="false">IF($B132="","",ROW()-4)</f>
        <v/>
      </c>
      <c r="B132" s="32"/>
      <c r="C132" s="32"/>
      <c r="D132" s="33"/>
      <c r="E132" s="33"/>
      <c r="F132" s="33"/>
      <c r="G132" s="34"/>
      <c r="H132" s="33"/>
      <c r="I132" s="33"/>
      <c r="J132" s="33"/>
      <c r="K132" s="33"/>
      <c r="L132" s="35"/>
      <c r="M132" s="33"/>
      <c r="N132" s="33"/>
      <c r="O132" s="33"/>
      <c r="P132" s="33"/>
      <c r="Q132" s="35"/>
      <c r="R132" s="33"/>
      <c r="S132" s="33"/>
      <c r="T132" s="33"/>
      <c r="U132" s="33"/>
      <c r="V132" s="33"/>
      <c r="W132" s="31" t="str">
        <f aca="false">IF(OR($T132="",$U132="",$V132=""),"",$T132*$U132*$V132)</f>
        <v/>
      </c>
      <c r="X132" s="36" t="str">
        <f aca="false">IF($W132="","",IF($T132=5,"High",IF($W132&gt;=Settings!$C$20,"High",IF(OR($W132&gt;=Settings!$C$21,$T132=4),"Medium","Low"))))</f>
        <v/>
      </c>
      <c r="Y132" s="34"/>
      <c r="Z132" s="37" t="str">
        <f aca="false">IF($O132="","",$O132*Settings!$C$5)</f>
        <v/>
      </c>
      <c r="AA132" s="37" t="n">
        <f aca="false">IF(OR($H132&lt;&gt;"Complaint",$P132&lt;&gt;"Upheld",$T132=""),0,IF($G132="",Settings!$C$6,$G132)*INDEX(Settings!$C$8:$C$12,6-$T132))</f>
        <v>0</v>
      </c>
      <c r="AB132" s="37" t="str">
        <f aca="false">IF($B132="","",IF($Y132="",0,$Y132)+IF($Z132="",0,$Z132)+IF($AA132="",0,$AA132))</f>
        <v/>
      </c>
      <c r="AC132" s="35"/>
      <c r="AD132" s="33"/>
      <c r="AE132" s="36" t="str">
        <f aca="false">IF($B132="","",IF(OR($H132="Nonconformity (process)",$S132="Yes",AND(ISNUMBER($W132),$W132&gt;=Settings!$C$20)),"YES – required","No"))</f>
        <v/>
      </c>
      <c r="AF132" s="33"/>
      <c r="AG132" s="33"/>
      <c r="AH132" s="32"/>
      <c r="AI132" s="33"/>
      <c r="AJ132" s="32"/>
      <c r="AK132" s="31" t="str">
        <f aca="false">IF(OR($B132="",$AJ132=""),"",$AJ132-$B132)</f>
        <v/>
      </c>
      <c r="AL132" s="31" t="str">
        <f aca="false">IF($X132="","",INDEX(Settings!$C$15:$C$17,MATCH($X132,Settings!$B$15:$B$17,0)))</f>
        <v/>
      </c>
      <c r="AM132" s="36" t="str">
        <f aca="true">IF($B132="","",IF($AH132="","No due date",IF($AI132="Closed",IF($AJ132="","Missing close date",IF($AJ132&lt;=$AH132,"On time","Late")),IF(TODAY()&gt;$AH132,"OVERDUE","In progress"))))</f>
        <v/>
      </c>
      <c r="AN132" s="35"/>
    </row>
    <row r="133" customFormat="false" ht="27.75" hidden="false" customHeight="true" outlineLevel="0" collapsed="false">
      <c r="A133" s="31" t="str">
        <f aca="false">IF($B133="","",ROW()-4)</f>
        <v/>
      </c>
      <c r="B133" s="32"/>
      <c r="C133" s="32"/>
      <c r="D133" s="33"/>
      <c r="E133" s="33"/>
      <c r="F133" s="33"/>
      <c r="G133" s="34"/>
      <c r="H133" s="33"/>
      <c r="I133" s="33"/>
      <c r="J133" s="33"/>
      <c r="K133" s="33"/>
      <c r="L133" s="35"/>
      <c r="M133" s="33"/>
      <c r="N133" s="33"/>
      <c r="O133" s="33"/>
      <c r="P133" s="33"/>
      <c r="Q133" s="35"/>
      <c r="R133" s="33"/>
      <c r="S133" s="33"/>
      <c r="T133" s="33"/>
      <c r="U133" s="33"/>
      <c r="V133" s="33"/>
      <c r="W133" s="31" t="str">
        <f aca="false">IF(OR($T133="",$U133="",$V133=""),"",$T133*$U133*$V133)</f>
        <v/>
      </c>
      <c r="X133" s="36" t="str">
        <f aca="false">IF($W133="","",IF($T133=5,"High",IF($W133&gt;=Settings!$C$20,"High",IF(OR($W133&gt;=Settings!$C$21,$T133=4),"Medium","Low"))))</f>
        <v/>
      </c>
      <c r="Y133" s="34"/>
      <c r="Z133" s="37" t="str">
        <f aca="false">IF($O133="","",$O133*Settings!$C$5)</f>
        <v/>
      </c>
      <c r="AA133" s="37" t="n">
        <f aca="false">IF(OR($H133&lt;&gt;"Complaint",$P133&lt;&gt;"Upheld",$T133=""),0,IF($G133="",Settings!$C$6,$G133)*INDEX(Settings!$C$8:$C$12,6-$T133))</f>
        <v>0</v>
      </c>
      <c r="AB133" s="37" t="str">
        <f aca="false">IF($B133="","",IF($Y133="",0,$Y133)+IF($Z133="",0,$Z133)+IF($AA133="",0,$AA133))</f>
        <v/>
      </c>
      <c r="AC133" s="35"/>
      <c r="AD133" s="33"/>
      <c r="AE133" s="36" t="str">
        <f aca="false">IF($B133="","",IF(OR($H133="Nonconformity (process)",$S133="Yes",AND(ISNUMBER($W133),$W133&gt;=Settings!$C$20)),"YES – required","No"))</f>
        <v/>
      </c>
      <c r="AF133" s="33"/>
      <c r="AG133" s="33"/>
      <c r="AH133" s="32"/>
      <c r="AI133" s="33"/>
      <c r="AJ133" s="32"/>
      <c r="AK133" s="31" t="str">
        <f aca="false">IF(OR($B133="",$AJ133=""),"",$AJ133-$B133)</f>
        <v/>
      </c>
      <c r="AL133" s="31" t="str">
        <f aca="false">IF($X133="","",INDEX(Settings!$C$15:$C$17,MATCH($X133,Settings!$B$15:$B$17,0)))</f>
        <v/>
      </c>
      <c r="AM133" s="36" t="str">
        <f aca="true">IF($B133="","",IF($AH133="","No due date",IF($AI133="Closed",IF($AJ133="","Missing close date",IF($AJ133&lt;=$AH133,"On time","Late")),IF(TODAY()&gt;$AH133,"OVERDUE","In progress"))))</f>
        <v/>
      </c>
      <c r="AN133" s="35"/>
    </row>
    <row r="134" customFormat="false" ht="27.75" hidden="false" customHeight="true" outlineLevel="0" collapsed="false">
      <c r="A134" s="31" t="str">
        <f aca="false">IF($B134="","",ROW()-4)</f>
        <v/>
      </c>
      <c r="B134" s="32"/>
      <c r="C134" s="32"/>
      <c r="D134" s="33"/>
      <c r="E134" s="33"/>
      <c r="F134" s="33"/>
      <c r="G134" s="34"/>
      <c r="H134" s="33"/>
      <c r="I134" s="33"/>
      <c r="J134" s="33"/>
      <c r="K134" s="33"/>
      <c r="L134" s="35"/>
      <c r="M134" s="33"/>
      <c r="N134" s="33"/>
      <c r="O134" s="33"/>
      <c r="P134" s="33"/>
      <c r="Q134" s="35"/>
      <c r="R134" s="33"/>
      <c r="S134" s="33"/>
      <c r="T134" s="33"/>
      <c r="U134" s="33"/>
      <c r="V134" s="33"/>
      <c r="W134" s="31" t="str">
        <f aca="false">IF(OR($T134="",$U134="",$V134=""),"",$T134*$U134*$V134)</f>
        <v/>
      </c>
      <c r="X134" s="36" t="str">
        <f aca="false">IF($W134="","",IF($T134=5,"High",IF($W134&gt;=Settings!$C$20,"High",IF(OR($W134&gt;=Settings!$C$21,$T134=4),"Medium","Low"))))</f>
        <v/>
      </c>
      <c r="Y134" s="34"/>
      <c r="Z134" s="37" t="str">
        <f aca="false">IF($O134="","",$O134*Settings!$C$5)</f>
        <v/>
      </c>
      <c r="AA134" s="37" t="n">
        <f aca="false">IF(OR($H134&lt;&gt;"Complaint",$P134&lt;&gt;"Upheld",$T134=""),0,IF($G134="",Settings!$C$6,$G134)*INDEX(Settings!$C$8:$C$12,6-$T134))</f>
        <v>0</v>
      </c>
      <c r="AB134" s="37" t="str">
        <f aca="false">IF($B134="","",IF($Y134="",0,$Y134)+IF($Z134="",0,$Z134)+IF($AA134="",0,$AA134))</f>
        <v/>
      </c>
      <c r="AC134" s="35"/>
      <c r="AD134" s="33"/>
      <c r="AE134" s="36" t="str">
        <f aca="false">IF($B134="","",IF(OR($H134="Nonconformity (process)",$S134="Yes",AND(ISNUMBER($W134),$W134&gt;=Settings!$C$20)),"YES – required","No"))</f>
        <v/>
      </c>
      <c r="AF134" s="33"/>
      <c r="AG134" s="33"/>
      <c r="AH134" s="32"/>
      <c r="AI134" s="33"/>
      <c r="AJ134" s="32"/>
      <c r="AK134" s="31" t="str">
        <f aca="false">IF(OR($B134="",$AJ134=""),"",$AJ134-$B134)</f>
        <v/>
      </c>
      <c r="AL134" s="31" t="str">
        <f aca="false">IF($X134="","",INDEX(Settings!$C$15:$C$17,MATCH($X134,Settings!$B$15:$B$17,0)))</f>
        <v/>
      </c>
      <c r="AM134" s="36" t="str">
        <f aca="true">IF($B134="","",IF($AH134="","No due date",IF($AI134="Closed",IF($AJ134="","Missing close date",IF($AJ134&lt;=$AH134,"On time","Late")),IF(TODAY()&gt;$AH134,"OVERDUE","In progress"))))</f>
        <v/>
      </c>
      <c r="AN134" s="35"/>
    </row>
    <row r="135" customFormat="false" ht="27.75" hidden="false" customHeight="true" outlineLevel="0" collapsed="false">
      <c r="A135" s="31" t="str">
        <f aca="false">IF($B135="","",ROW()-4)</f>
        <v/>
      </c>
      <c r="B135" s="32"/>
      <c r="C135" s="32"/>
      <c r="D135" s="33"/>
      <c r="E135" s="33"/>
      <c r="F135" s="33"/>
      <c r="G135" s="34"/>
      <c r="H135" s="33"/>
      <c r="I135" s="33"/>
      <c r="J135" s="33"/>
      <c r="K135" s="33"/>
      <c r="L135" s="35"/>
      <c r="M135" s="33"/>
      <c r="N135" s="33"/>
      <c r="O135" s="33"/>
      <c r="P135" s="33"/>
      <c r="Q135" s="35"/>
      <c r="R135" s="33"/>
      <c r="S135" s="33"/>
      <c r="T135" s="33"/>
      <c r="U135" s="33"/>
      <c r="V135" s="33"/>
      <c r="W135" s="31" t="str">
        <f aca="false">IF(OR($T135="",$U135="",$V135=""),"",$T135*$U135*$V135)</f>
        <v/>
      </c>
      <c r="X135" s="36" t="str">
        <f aca="false">IF($W135="","",IF($T135=5,"High",IF($W135&gt;=Settings!$C$20,"High",IF(OR($W135&gt;=Settings!$C$21,$T135=4),"Medium","Low"))))</f>
        <v/>
      </c>
      <c r="Y135" s="34"/>
      <c r="Z135" s="37" t="str">
        <f aca="false">IF($O135="","",$O135*Settings!$C$5)</f>
        <v/>
      </c>
      <c r="AA135" s="37" t="n">
        <f aca="false">IF(OR($H135&lt;&gt;"Complaint",$P135&lt;&gt;"Upheld",$T135=""),0,IF($G135="",Settings!$C$6,$G135)*INDEX(Settings!$C$8:$C$12,6-$T135))</f>
        <v>0</v>
      </c>
      <c r="AB135" s="37" t="str">
        <f aca="false">IF($B135="","",IF($Y135="",0,$Y135)+IF($Z135="",0,$Z135)+IF($AA135="",0,$AA135))</f>
        <v/>
      </c>
      <c r="AC135" s="35"/>
      <c r="AD135" s="33"/>
      <c r="AE135" s="36" t="str">
        <f aca="false">IF($B135="","",IF(OR($H135="Nonconformity (process)",$S135="Yes",AND(ISNUMBER($W135),$W135&gt;=Settings!$C$20)),"YES – required","No"))</f>
        <v/>
      </c>
      <c r="AF135" s="33"/>
      <c r="AG135" s="33"/>
      <c r="AH135" s="32"/>
      <c r="AI135" s="33"/>
      <c r="AJ135" s="32"/>
      <c r="AK135" s="31" t="str">
        <f aca="false">IF(OR($B135="",$AJ135=""),"",$AJ135-$B135)</f>
        <v/>
      </c>
      <c r="AL135" s="31" t="str">
        <f aca="false">IF($X135="","",INDEX(Settings!$C$15:$C$17,MATCH($X135,Settings!$B$15:$B$17,0)))</f>
        <v/>
      </c>
      <c r="AM135" s="36" t="str">
        <f aca="true">IF($B135="","",IF($AH135="","No due date",IF($AI135="Closed",IF($AJ135="","Missing close date",IF($AJ135&lt;=$AH135,"On time","Late")),IF(TODAY()&gt;$AH135,"OVERDUE","In progress"))))</f>
        <v/>
      </c>
      <c r="AN135" s="35"/>
    </row>
    <row r="136" customFormat="false" ht="27.75" hidden="false" customHeight="true" outlineLevel="0" collapsed="false">
      <c r="A136" s="31" t="str">
        <f aca="false">IF($B136="","",ROW()-4)</f>
        <v/>
      </c>
      <c r="B136" s="32"/>
      <c r="C136" s="32"/>
      <c r="D136" s="33"/>
      <c r="E136" s="33"/>
      <c r="F136" s="33"/>
      <c r="G136" s="34"/>
      <c r="H136" s="33"/>
      <c r="I136" s="33"/>
      <c r="J136" s="33"/>
      <c r="K136" s="33"/>
      <c r="L136" s="35"/>
      <c r="M136" s="33"/>
      <c r="N136" s="33"/>
      <c r="O136" s="33"/>
      <c r="P136" s="33"/>
      <c r="Q136" s="35"/>
      <c r="R136" s="33"/>
      <c r="S136" s="33"/>
      <c r="T136" s="33"/>
      <c r="U136" s="33"/>
      <c r="V136" s="33"/>
      <c r="W136" s="31" t="str">
        <f aca="false">IF(OR($T136="",$U136="",$V136=""),"",$T136*$U136*$V136)</f>
        <v/>
      </c>
      <c r="X136" s="36" t="str">
        <f aca="false">IF($W136="","",IF($T136=5,"High",IF($W136&gt;=Settings!$C$20,"High",IF(OR($W136&gt;=Settings!$C$21,$T136=4),"Medium","Low"))))</f>
        <v/>
      </c>
      <c r="Y136" s="34"/>
      <c r="Z136" s="37" t="str">
        <f aca="false">IF($O136="","",$O136*Settings!$C$5)</f>
        <v/>
      </c>
      <c r="AA136" s="37" t="n">
        <f aca="false">IF(OR($H136&lt;&gt;"Complaint",$P136&lt;&gt;"Upheld",$T136=""),0,IF($G136="",Settings!$C$6,$G136)*INDEX(Settings!$C$8:$C$12,6-$T136))</f>
        <v>0</v>
      </c>
      <c r="AB136" s="37" t="str">
        <f aca="false">IF($B136="","",IF($Y136="",0,$Y136)+IF($Z136="",0,$Z136)+IF($AA136="",0,$AA136))</f>
        <v/>
      </c>
      <c r="AC136" s="35"/>
      <c r="AD136" s="33"/>
      <c r="AE136" s="36" t="str">
        <f aca="false">IF($B136="","",IF(OR($H136="Nonconformity (process)",$S136="Yes",AND(ISNUMBER($W136),$W136&gt;=Settings!$C$20)),"YES – required","No"))</f>
        <v/>
      </c>
      <c r="AF136" s="33"/>
      <c r="AG136" s="33"/>
      <c r="AH136" s="32"/>
      <c r="AI136" s="33"/>
      <c r="AJ136" s="32"/>
      <c r="AK136" s="31" t="str">
        <f aca="false">IF(OR($B136="",$AJ136=""),"",$AJ136-$B136)</f>
        <v/>
      </c>
      <c r="AL136" s="31" t="str">
        <f aca="false">IF($X136="","",INDEX(Settings!$C$15:$C$17,MATCH($X136,Settings!$B$15:$B$17,0)))</f>
        <v/>
      </c>
      <c r="AM136" s="36" t="str">
        <f aca="true">IF($B136="","",IF($AH136="","No due date",IF($AI136="Closed",IF($AJ136="","Missing close date",IF($AJ136&lt;=$AH136,"On time","Late")),IF(TODAY()&gt;$AH136,"OVERDUE","In progress"))))</f>
        <v/>
      </c>
      <c r="AN136" s="35"/>
    </row>
    <row r="137" customFormat="false" ht="27.75" hidden="false" customHeight="true" outlineLevel="0" collapsed="false">
      <c r="A137" s="31" t="str">
        <f aca="false">IF($B137="","",ROW()-4)</f>
        <v/>
      </c>
      <c r="B137" s="32"/>
      <c r="C137" s="32"/>
      <c r="D137" s="33"/>
      <c r="E137" s="33"/>
      <c r="F137" s="33"/>
      <c r="G137" s="34"/>
      <c r="H137" s="33"/>
      <c r="I137" s="33"/>
      <c r="J137" s="33"/>
      <c r="K137" s="33"/>
      <c r="L137" s="35"/>
      <c r="M137" s="33"/>
      <c r="N137" s="33"/>
      <c r="O137" s="33"/>
      <c r="P137" s="33"/>
      <c r="Q137" s="35"/>
      <c r="R137" s="33"/>
      <c r="S137" s="33"/>
      <c r="T137" s="33"/>
      <c r="U137" s="33"/>
      <c r="V137" s="33"/>
      <c r="W137" s="31" t="str">
        <f aca="false">IF(OR($T137="",$U137="",$V137=""),"",$T137*$U137*$V137)</f>
        <v/>
      </c>
      <c r="X137" s="36" t="str">
        <f aca="false">IF($W137="","",IF($T137=5,"High",IF($W137&gt;=Settings!$C$20,"High",IF(OR($W137&gt;=Settings!$C$21,$T137=4),"Medium","Low"))))</f>
        <v/>
      </c>
      <c r="Y137" s="34"/>
      <c r="Z137" s="37" t="str">
        <f aca="false">IF($O137="","",$O137*Settings!$C$5)</f>
        <v/>
      </c>
      <c r="AA137" s="37" t="n">
        <f aca="false">IF(OR($H137&lt;&gt;"Complaint",$P137&lt;&gt;"Upheld",$T137=""),0,IF($G137="",Settings!$C$6,$G137)*INDEX(Settings!$C$8:$C$12,6-$T137))</f>
        <v>0</v>
      </c>
      <c r="AB137" s="37" t="str">
        <f aca="false">IF($B137="","",IF($Y137="",0,$Y137)+IF($Z137="",0,$Z137)+IF($AA137="",0,$AA137))</f>
        <v/>
      </c>
      <c r="AC137" s="35"/>
      <c r="AD137" s="33"/>
      <c r="AE137" s="36" t="str">
        <f aca="false">IF($B137="","",IF(OR($H137="Nonconformity (process)",$S137="Yes",AND(ISNUMBER($W137),$W137&gt;=Settings!$C$20)),"YES – required","No"))</f>
        <v/>
      </c>
      <c r="AF137" s="33"/>
      <c r="AG137" s="33"/>
      <c r="AH137" s="32"/>
      <c r="AI137" s="33"/>
      <c r="AJ137" s="32"/>
      <c r="AK137" s="31" t="str">
        <f aca="false">IF(OR($B137="",$AJ137=""),"",$AJ137-$B137)</f>
        <v/>
      </c>
      <c r="AL137" s="31" t="str">
        <f aca="false">IF($X137="","",INDEX(Settings!$C$15:$C$17,MATCH($X137,Settings!$B$15:$B$17,0)))</f>
        <v/>
      </c>
      <c r="AM137" s="36" t="str">
        <f aca="true">IF($B137="","",IF($AH137="","No due date",IF($AI137="Closed",IF($AJ137="","Missing close date",IF($AJ137&lt;=$AH137,"On time","Late")),IF(TODAY()&gt;$AH137,"OVERDUE","In progress"))))</f>
        <v/>
      </c>
      <c r="AN137" s="35"/>
    </row>
    <row r="138" customFormat="false" ht="27.75" hidden="false" customHeight="true" outlineLevel="0" collapsed="false">
      <c r="A138" s="31" t="str">
        <f aca="false">IF($B138="","",ROW()-4)</f>
        <v/>
      </c>
      <c r="B138" s="32"/>
      <c r="C138" s="32"/>
      <c r="D138" s="33"/>
      <c r="E138" s="33"/>
      <c r="F138" s="33"/>
      <c r="G138" s="34"/>
      <c r="H138" s="33"/>
      <c r="I138" s="33"/>
      <c r="J138" s="33"/>
      <c r="K138" s="33"/>
      <c r="L138" s="35"/>
      <c r="M138" s="33"/>
      <c r="N138" s="33"/>
      <c r="O138" s="33"/>
      <c r="P138" s="33"/>
      <c r="Q138" s="35"/>
      <c r="R138" s="33"/>
      <c r="S138" s="33"/>
      <c r="T138" s="33"/>
      <c r="U138" s="33"/>
      <c r="V138" s="33"/>
      <c r="W138" s="31" t="str">
        <f aca="false">IF(OR($T138="",$U138="",$V138=""),"",$T138*$U138*$V138)</f>
        <v/>
      </c>
      <c r="X138" s="36" t="str">
        <f aca="false">IF($W138="","",IF($T138=5,"High",IF($W138&gt;=Settings!$C$20,"High",IF(OR($W138&gt;=Settings!$C$21,$T138=4),"Medium","Low"))))</f>
        <v/>
      </c>
      <c r="Y138" s="34"/>
      <c r="Z138" s="37" t="str">
        <f aca="false">IF($O138="","",$O138*Settings!$C$5)</f>
        <v/>
      </c>
      <c r="AA138" s="37" t="n">
        <f aca="false">IF(OR($H138&lt;&gt;"Complaint",$P138&lt;&gt;"Upheld",$T138=""),0,IF($G138="",Settings!$C$6,$G138)*INDEX(Settings!$C$8:$C$12,6-$T138))</f>
        <v>0</v>
      </c>
      <c r="AB138" s="37" t="str">
        <f aca="false">IF($B138="","",IF($Y138="",0,$Y138)+IF($Z138="",0,$Z138)+IF($AA138="",0,$AA138))</f>
        <v/>
      </c>
      <c r="AC138" s="35"/>
      <c r="AD138" s="33"/>
      <c r="AE138" s="36" t="str">
        <f aca="false">IF($B138="","",IF(OR($H138="Nonconformity (process)",$S138="Yes",AND(ISNUMBER($W138),$W138&gt;=Settings!$C$20)),"YES – required","No"))</f>
        <v/>
      </c>
      <c r="AF138" s="33"/>
      <c r="AG138" s="33"/>
      <c r="AH138" s="32"/>
      <c r="AI138" s="33"/>
      <c r="AJ138" s="32"/>
      <c r="AK138" s="31" t="str">
        <f aca="false">IF(OR($B138="",$AJ138=""),"",$AJ138-$B138)</f>
        <v/>
      </c>
      <c r="AL138" s="31" t="str">
        <f aca="false">IF($X138="","",INDEX(Settings!$C$15:$C$17,MATCH($X138,Settings!$B$15:$B$17,0)))</f>
        <v/>
      </c>
      <c r="AM138" s="36" t="str">
        <f aca="true">IF($B138="","",IF($AH138="","No due date",IF($AI138="Closed",IF($AJ138="","Missing close date",IF($AJ138&lt;=$AH138,"On time","Late")),IF(TODAY()&gt;$AH138,"OVERDUE","In progress"))))</f>
        <v/>
      </c>
      <c r="AN138" s="35"/>
    </row>
    <row r="139" customFormat="false" ht="27.75" hidden="false" customHeight="true" outlineLevel="0" collapsed="false">
      <c r="A139" s="31" t="str">
        <f aca="false">IF($B139="","",ROW()-4)</f>
        <v/>
      </c>
      <c r="B139" s="32"/>
      <c r="C139" s="32"/>
      <c r="D139" s="33"/>
      <c r="E139" s="33"/>
      <c r="F139" s="33"/>
      <c r="G139" s="34"/>
      <c r="H139" s="33"/>
      <c r="I139" s="33"/>
      <c r="J139" s="33"/>
      <c r="K139" s="33"/>
      <c r="L139" s="35"/>
      <c r="M139" s="33"/>
      <c r="N139" s="33"/>
      <c r="O139" s="33"/>
      <c r="P139" s="33"/>
      <c r="Q139" s="35"/>
      <c r="R139" s="33"/>
      <c r="S139" s="33"/>
      <c r="T139" s="33"/>
      <c r="U139" s="33"/>
      <c r="V139" s="33"/>
      <c r="W139" s="31" t="str">
        <f aca="false">IF(OR($T139="",$U139="",$V139=""),"",$T139*$U139*$V139)</f>
        <v/>
      </c>
      <c r="X139" s="36" t="str">
        <f aca="false">IF($W139="","",IF($T139=5,"High",IF($W139&gt;=Settings!$C$20,"High",IF(OR($W139&gt;=Settings!$C$21,$T139=4),"Medium","Low"))))</f>
        <v/>
      </c>
      <c r="Y139" s="34"/>
      <c r="Z139" s="37" t="str">
        <f aca="false">IF($O139="","",$O139*Settings!$C$5)</f>
        <v/>
      </c>
      <c r="AA139" s="37" t="n">
        <f aca="false">IF(OR($H139&lt;&gt;"Complaint",$P139&lt;&gt;"Upheld",$T139=""),0,IF($G139="",Settings!$C$6,$G139)*INDEX(Settings!$C$8:$C$12,6-$T139))</f>
        <v>0</v>
      </c>
      <c r="AB139" s="37" t="str">
        <f aca="false">IF($B139="","",IF($Y139="",0,$Y139)+IF($Z139="",0,$Z139)+IF($AA139="",0,$AA139))</f>
        <v/>
      </c>
      <c r="AC139" s="35"/>
      <c r="AD139" s="33"/>
      <c r="AE139" s="36" t="str">
        <f aca="false">IF($B139="","",IF(OR($H139="Nonconformity (process)",$S139="Yes",AND(ISNUMBER($W139),$W139&gt;=Settings!$C$20)),"YES – required","No"))</f>
        <v/>
      </c>
      <c r="AF139" s="33"/>
      <c r="AG139" s="33"/>
      <c r="AH139" s="32"/>
      <c r="AI139" s="33"/>
      <c r="AJ139" s="32"/>
      <c r="AK139" s="31" t="str">
        <f aca="false">IF(OR($B139="",$AJ139=""),"",$AJ139-$B139)</f>
        <v/>
      </c>
      <c r="AL139" s="31" t="str">
        <f aca="false">IF($X139="","",INDEX(Settings!$C$15:$C$17,MATCH($X139,Settings!$B$15:$B$17,0)))</f>
        <v/>
      </c>
      <c r="AM139" s="36" t="str">
        <f aca="true">IF($B139="","",IF($AH139="","No due date",IF($AI139="Closed",IF($AJ139="","Missing close date",IF($AJ139&lt;=$AH139,"On time","Late")),IF(TODAY()&gt;$AH139,"OVERDUE","In progress"))))</f>
        <v/>
      </c>
      <c r="AN139" s="35"/>
    </row>
    <row r="140" customFormat="false" ht="27.75" hidden="false" customHeight="true" outlineLevel="0" collapsed="false">
      <c r="A140" s="31" t="str">
        <f aca="false">IF($B140="","",ROW()-4)</f>
        <v/>
      </c>
      <c r="B140" s="32"/>
      <c r="C140" s="32"/>
      <c r="D140" s="33"/>
      <c r="E140" s="33"/>
      <c r="F140" s="33"/>
      <c r="G140" s="34"/>
      <c r="H140" s="33"/>
      <c r="I140" s="33"/>
      <c r="J140" s="33"/>
      <c r="K140" s="33"/>
      <c r="L140" s="35"/>
      <c r="M140" s="33"/>
      <c r="N140" s="33"/>
      <c r="O140" s="33"/>
      <c r="P140" s="33"/>
      <c r="Q140" s="35"/>
      <c r="R140" s="33"/>
      <c r="S140" s="33"/>
      <c r="T140" s="33"/>
      <c r="U140" s="33"/>
      <c r="V140" s="33"/>
      <c r="W140" s="31" t="str">
        <f aca="false">IF(OR($T140="",$U140="",$V140=""),"",$T140*$U140*$V140)</f>
        <v/>
      </c>
      <c r="X140" s="36" t="str">
        <f aca="false">IF($W140="","",IF($T140=5,"High",IF($W140&gt;=Settings!$C$20,"High",IF(OR($W140&gt;=Settings!$C$21,$T140=4),"Medium","Low"))))</f>
        <v/>
      </c>
      <c r="Y140" s="34"/>
      <c r="Z140" s="37" t="str">
        <f aca="false">IF($O140="","",$O140*Settings!$C$5)</f>
        <v/>
      </c>
      <c r="AA140" s="37" t="n">
        <f aca="false">IF(OR($H140&lt;&gt;"Complaint",$P140&lt;&gt;"Upheld",$T140=""),0,IF($G140="",Settings!$C$6,$G140)*INDEX(Settings!$C$8:$C$12,6-$T140))</f>
        <v>0</v>
      </c>
      <c r="AB140" s="37" t="str">
        <f aca="false">IF($B140="","",IF($Y140="",0,$Y140)+IF($Z140="",0,$Z140)+IF($AA140="",0,$AA140))</f>
        <v/>
      </c>
      <c r="AC140" s="35"/>
      <c r="AD140" s="33"/>
      <c r="AE140" s="36" t="str">
        <f aca="false">IF($B140="","",IF(OR($H140="Nonconformity (process)",$S140="Yes",AND(ISNUMBER($W140),$W140&gt;=Settings!$C$20)),"YES – required","No"))</f>
        <v/>
      </c>
      <c r="AF140" s="33"/>
      <c r="AG140" s="33"/>
      <c r="AH140" s="32"/>
      <c r="AI140" s="33"/>
      <c r="AJ140" s="32"/>
      <c r="AK140" s="31" t="str">
        <f aca="false">IF(OR($B140="",$AJ140=""),"",$AJ140-$B140)</f>
        <v/>
      </c>
      <c r="AL140" s="31" t="str">
        <f aca="false">IF($X140="","",INDEX(Settings!$C$15:$C$17,MATCH($X140,Settings!$B$15:$B$17,0)))</f>
        <v/>
      </c>
      <c r="AM140" s="36" t="str">
        <f aca="true">IF($B140="","",IF($AH140="","No due date",IF($AI140="Closed",IF($AJ140="","Missing close date",IF($AJ140&lt;=$AH140,"On time","Late")),IF(TODAY()&gt;$AH140,"OVERDUE","In progress"))))</f>
        <v/>
      </c>
      <c r="AN140" s="35"/>
    </row>
    <row r="141" customFormat="false" ht="27.75" hidden="false" customHeight="true" outlineLevel="0" collapsed="false">
      <c r="A141" s="31" t="str">
        <f aca="false">IF($B141="","",ROW()-4)</f>
        <v/>
      </c>
      <c r="B141" s="32"/>
      <c r="C141" s="32"/>
      <c r="D141" s="33"/>
      <c r="E141" s="33"/>
      <c r="F141" s="33"/>
      <c r="G141" s="34"/>
      <c r="H141" s="33"/>
      <c r="I141" s="33"/>
      <c r="J141" s="33"/>
      <c r="K141" s="33"/>
      <c r="L141" s="35"/>
      <c r="M141" s="33"/>
      <c r="N141" s="33"/>
      <c r="O141" s="33"/>
      <c r="P141" s="33"/>
      <c r="Q141" s="35"/>
      <c r="R141" s="33"/>
      <c r="S141" s="33"/>
      <c r="T141" s="33"/>
      <c r="U141" s="33"/>
      <c r="V141" s="33"/>
      <c r="W141" s="31" t="str">
        <f aca="false">IF(OR($T141="",$U141="",$V141=""),"",$T141*$U141*$V141)</f>
        <v/>
      </c>
      <c r="X141" s="36" t="str">
        <f aca="false">IF($W141="","",IF($T141=5,"High",IF($W141&gt;=Settings!$C$20,"High",IF(OR($W141&gt;=Settings!$C$21,$T141=4),"Medium","Low"))))</f>
        <v/>
      </c>
      <c r="Y141" s="34"/>
      <c r="Z141" s="37" t="str">
        <f aca="false">IF($O141="","",$O141*Settings!$C$5)</f>
        <v/>
      </c>
      <c r="AA141" s="37" t="n">
        <f aca="false">IF(OR($H141&lt;&gt;"Complaint",$P141&lt;&gt;"Upheld",$T141=""),0,IF($G141="",Settings!$C$6,$G141)*INDEX(Settings!$C$8:$C$12,6-$T141))</f>
        <v>0</v>
      </c>
      <c r="AB141" s="37" t="str">
        <f aca="false">IF($B141="","",IF($Y141="",0,$Y141)+IF($Z141="",0,$Z141)+IF($AA141="",0,$AA141))</f>
        <v/>
      </c>
      <c r="AC141" s="35"/>
      <c r="AD141" s="33"/>
      <c r="AE141" s="36" t="str">
        <f aca="false">IF($B141="","",IF(OR($H141="Nonconformity (process)",$S141="Yes",AND(ISNUMBER($W141),$W141&gt;=Settings!$C$20)),"YES – required","No"))</f>
        <v/>
      </c>
      <c r="AF141" s="33"/>
      <c r="AG141" s="33"/>
      <c r="AH141" s="32"/>
      <c r="AI141" s="33"/>
      <c r="AJ141" s="32"/>
      <c r="AK141" s="31" t="str">
        <f aca="false">IF(OR($B141="",$AJ141=""),"",$AJ141-$B141)</f>
        <v/>
      </c>
      <c r="AL141" s="31" t="str">
        <f aca="false">IF($X141="","",INDEX(Settings!$C$15:$C$17,MATCH($X141,Settings!$B$15:$B$17,0)))</f>
        <v/>
      </c>
      <c r="AM141" s="36" t="str">
        <f aca="true">IF($B141="","",IF($AH141="","No due date",IF($AI141="Closed",IF($AJ141="","Missing close date",IF($AJ141&lt;=$AH141,"On time","Late")),IF(TODAY()&gt;$AH141,"OVERDUE","In progress"))))</f>
        <v/>
      </c>
      <c r="AN141" s="35"/>
    </row>
    <row r="142" customFormat="false" ht="27.75" hidden="false" customHeight="true" outlineLevel="0" collapsed="false">
      <c r="A142" s="31" t="str">
        <f aca="false">IF($B142="","",ROW()-4)</f>
        <v/>
      </c>
      <c r="B142" s="32"/>
      <c r="C142" s="32"/>
      <c r="D142" s="33"/>
      <c r="E142" s="33"/>
      <c r="F142" s="33"/>
      <c r="G142" s="34"/>
      <c r="H142" s="33"/>
      <c r="I142" s="33"/>
      <c r="J142" s="33"/>
      <c r="K142" s="33"/>
      <c r="L142" s="35"/>
      <c r="M142" s="33"/>
      <c r="N142" s="33"/>
      <c r="O142" s="33"/>
      <c r="P142" s="33"/>
      <c r="Q142" s="35"/>
      <c r="R142" s="33"/>
      <c r="S142" s="33"/>
      <c r="T142" s="33"/>
      <c r="U142" s="33"/>
      <c r="V142" s="33"/>
      <c r="W142" s="31" t="str">
        <f aca="false">IF(OR($T142="",$U142="",$V142=""),"",$T142*$U142*$V142)</f>
        <v/>
      </c>
      <c r="X142" s="36" t="str">
        <f aca="false">IF($W142="","",IF($T142=5,"High",IF($W142&gt;=Settings!$C$20,"High",IF(OR($W142&gt;=Settings!$C$21,$T142=4),"Medium","Low"))))</f>
        <v/>
      </c>
      <c r="Y142" s="34"/>
      <c r="Z142" s="37" t="str">
        <f aca="false">IF($O142="","",$O142*Settings!$C$5)</f>
        <v/>
      </c>
      <c r="AA142" s="37" t="n">
        <f aca="false">IF(OR($H142&lt;&gt;"Complaint",$P142&lt;&gt;"Upheld",$T142=""),0,IF($G142="",Settings!$C$6,$G142)*INDEX(Settings!$C$8:$C$12,6-$T142))</f>
        <v>0</v>
      </c>
      <c r="AB142" s="37" t="str">
        <f aca="false">IF($B142="","",IF($Y142="",0,$Y142)+IF($Z142="",0,$Z142)+IF($AA142="",0,$AA142))</f>
        <v/>
      </c>
      <c r="AC142" s="35"/>
      <c r="AD142" s="33"/>
      <c r="AE142" s="36" t="str">
        <f aca="false">IF($B142="","",IF(OR($H142="Nonconformity (process)",$S142="Yes",AND(ISNUMBER($W142),$W142&gt;=Settings!$C$20)),"YES – required","No"))</f>
        <v/>
      </c>
      <c r="AF142" s="33"/>
      <c r="AG142" s="33"/>
      <c r="AH142" s="32"/>
      <c r="AI142" s="33"/>
      <c r="AJ142" s="32"/>
      <c r="AK142" s="31" t="str">
        <f aca="false">IF(OR($B142="",$AJ142=""),"",$AJ142-$B142)</f>
        <v/>
      </c>
      <c r="AL142" s="31" t="str">
        <f aca="false">IF($X142="","",INDEX(Settings!$C$15:$C$17,MATCH($X142,Settings!$B$15:$B$17,0)))</f>
        <v/>
      </c>
      <c r="AM142" s="36" t="str">
        <f aca="true">IF($B142="","",IF($AH142="","No due date",IF($AI142="Closed",IF($AJ142="","Missing close date",IF($AJ142&lt;=$AH142,"On time","Late")),IF(TODAY()&gt;$AH142,"OVERDUE","In progress"))))</f>
        <v/>
      </c>
      <c r="AN142" s="35"/>
    </row>
    <row r="143" customFormat="false" ht="27.75" hidden="false" customHeight="true" outlineLevel="0" collapsed="false">
      <c r="A143" s="31" t="str">
        <f aca="false">IF($B143="","",ROW()-4)</f>
        <v/>
      </c>
      <c r="B143" s="32"/>
      <c r="C143" s="32"/>
      <c r="D143" s="33"/>
      <c r="E143" s="33"/>
      <c r="F143" s="33"/>
      <c r="G143" s="34"/>
      <c r="H143" s="33"/>
      <c r="I143" s="33"/>
      <c r="J143" s="33"/>
      <c r="K143" s="33"/>
      <c r="L143" s="35"/>
      <c r="M143" s="33"/>
      <c r="N143" s="33"/>
      <c r="O143" s="33"/>
      <c r="P143" s="33"/>
      <c r="Q143" s="35"/>
      <c r="R143" s="33"/>
      <c r="S143" s="33"/>
      <c r="T143" s="33"/>
      <c r="U143" s="33"/>
      <c r="V143" s="33"/>
      <c r="W143" s="31" t="str">
        <f aca="false">IF(OR($T143="",$U143="",$V143=""),"",$T143*$U143*$V143)</f>
        <v/>
      </c>
      <c r="X143" s="36" t="str">
        <f aca="false">IF($W143="","",IF($T143=5,"High",IF($W143&gt;=Settings!$C$20,"High",IF(OR($W143&gt;=Settings!$C$21,$T143=4),"Medium","Low"))))</f>
        <v/>
      </c>
      <c r="Y143" s="34"/>
      <c r="Z143" s="37" t="str">
        <f aca="false">IF($O143="","",$O143*Settings!$C$5)</f>
        <v/>
      </c>
      <c r="AA143" s="37" t="n">
        <f aca="false">IF(OR($H143&lt;&gt;"Complaint",$P143&lt;&gt;"Upheld",$T143=""),0,IF($G143="",Settings!$C$6,$G143)*INDEX(Settings!$C$8:$C$12,6-$T143))</f>
        <v>0</v>
      </c>
      <c r="AB143" s="37" t="str">
        <f aca="false">IF($B143="","",IF($Y143="",0,$Y143)+IF($Z143="",0,$Z143)+IF($AA143="",0,$AA143))</f>
        <v/>
      </c>
      <c r="AC143" s="35"/>
      <c r="AD143" s="33"/>
      <c r="AE143" s="36" t="str">
        <f aca="false">IF($B143="","",IF(OR($H143="Nonconformity (process)",$S143="Yes",AND(ISNUMBER($W143),$W143&gt;=Settings!$C$20)),"YES – required","No"))</f>
        <v/>
      </c>
      <c r="AF143" s="33"/>
      <c r="AG143" s="33"/>
      <c r="AH143" s="32"/>
      <c r="AI143" s="33"/>
      <c r="AJ143" s="32"/>
      <c r="AK143" s="31" t="str">
        <f aca="false">IF(OR($B143="",$AJ143=""),"",$AJ143-$B143)</f>
        <v/>
      </c>
      <c r="AL143" s="31" t="str">
        <f aca="false">IF($X143="","",INDEX(Settings!$C$15:$C$17,MATCH($X143,Settings!$B$15:$B$17,0)))</f>
        <v/>
      </c>
      <c r="AM143" s="36" t="str">
        <f aca="true">IF($B143="","",IF($AH143="","No due date",IF($AI143="Closed",IF($AJ143="","Missing close date",IF($AJ143&lt;=$AH143,"On time","Late")),IF(TODAY()&gt;$AH143,"OVERDUE","In progress"))))</f>
        <v/>
      </c>
      <c r="AN143" s="35"/>
    </row>
    <row r="144" customFormat="false" ht="27.75" hidden="false" customHeight="true" outlineLevel="0" collapsed="false">
      <c r="A144" s="31" t="str">
        <f aca="false">IF($B144="","",ROW()-4)</f>
        <v/>
      </c>
      <c r="B144" s="32"/>
      <c r="C144" s="32"/>
      <c r="D144" s="33"/>
      <c r="E144" s="33"/>
      <c r="F144" s="33"/>
      <c r="G144" s="34"/>
      <c r="H144" s="33"/>
      <c r="I144" s="33"/>
      <c r="J144" s="33"/>
      <c r="K144" s="33"/>
      <c r="L144" s="35"/>
      <c r="M144" s="33"/>
      <c r="N144" s="33"/>
      <c r="O144" s="33"/>
      <c r="P144" s="33"/>
      <c r="Q144" s="35"/>
      <c r="R144" s="33"/>
      <c r="S144" s="33"/>
      <c r="T144" s="33"/>
      <c r="U144" s="33"/>
      <c r="V144" s="33"/>
      <c r="W144" s="31" t="str">
        <f aca="false">IF(OR($T144="",$U144="",$V144=""),"",$T144*$U144*$V144)</f>
        <v/>
      </c>
      <c r="X144" s="36" t="str">
        <f aca="false">IF($W144="","",IF($T144=5,"High",IF($W144&gt;=Settings!$C$20,"High",IF(OR($W144&gt;=Settings!$C$21,$T144=4),"Medium","Low"))))</f>
        <v/>
      </c>
      <c r="Y144" s="34"/>
      <c r="Z144" s="37" t="str">
        <f aca="false">IF($O144="","",$O144*Settings!$C$5)</f>
        <v/>
      </c>
      <c r="AA144" s="37" t="n">
        <f aca="false">IF(OR($H144&lt;&gt;"Complaint",$P144&lt;&gt;"Upheld",$T144=""),0,IF($G144="",Settings!$C$6,$G144)*INDEX(Settings!$C$8:$C$12,6-$T144))</f>
        <v>0</v>
      </c>
      <c r="AB144" s="37" t="str">
        <f aca="false">IF($B144="","",IF($Y144="",0,$Y144)+IF($Z144="",0,$Z144)+IF($AA144="",0,$AA144))</f>
        <v/>
      </c>
      <c r="AC144" s="35"/>
      <c r="AD144" s="33"/>
      <c r="AE144" s="36" t="str">
        <f aca="false">IF($B144="","",IF(OR($H144="Nonconformity (process)",$S144="Yes",AND(ISNUMBER($W144),$W144&gt;=Settings!$C$20)),"YES – required","No"))</f>
        <v/>
      </c>
      <c r="AF144" s="33"/>
      <c r="AG144" s="33"/>
      <c r="AH144" s="32"/>
      <c r="AI144" s="33"/>
      <c r="AJ144" s="32"/>
      <c r="AK144" s="31" t="str">
        <f aca="false">IF(OR($B144="",$AJ144=""),"",$AJ144-$B144)</f>
        <v/>
      </c>
      <c r="AL144" s="31" t="str">
        <f aca="false">IF($X144="","",INDEX(Settings!$C$15:$C$17,MATCH($X144,Settings!$B$15:$B$17,0)))</f>
        <v/>
      </c>
      <c r="AM144" s="36" t="str">
        <f aca="true">IF($B144="","",IF($AH144="","No due date",IF($AI144="Closed",IF($AJ144="","Missing close date",IF($AJ144&lt;=$AH144,"On time","Late")),IF(TODAY()&gt;$AH144,"OVERDUE","In progress"))))</f>
        <v/>
      </c>
      <c r="AN144" s="35"/>
    </row>
    <row r="145" customFormat="false" ht="27.75" hidden="false" customHeight="true" outlineLevel="0" collapsed="false">
      <c r="A145" s="31" t="str">
        <f aca="false">IF($B145="","",ROW()-4)</f>
        <v/>
      </c>
      <c r="B145" s="32"/>
      <c r="C145" s="32"/>
      <c r="D145" s="33"/>
      <c r="E145" s="33"/>
      <c r="F145" s="33"/>
      <c r="G145" s="34"/>
      <c r="H145" s="33"/>
      <c r="I145" s="33"/>
      <c r="J145" s="33"/>
      <c r="K145" s="33"/>
      <c r="L145" s="35"/>
      <c r="M145" s="33"/>
      <c r="N145" s="33"/>
      <c r="O145" s="33"/>
      <c r="P145" s="33"/>
      <c r="Q145" s="35"/>
      <c r="R145" s="33"/>
      <c r="S145" s="33"/>
      <c r="T145" s="33"/>
      <c r="U145" s="33"/>
      <c r="V145" s="33"/>
      <c r="W145" s="31" t="str">
        <f aca="false">IF(OR($T145="",$U145="",$V145=""),"",$T145*$U145*$V145)</f>
        <v/>
      </c>
      <c r="X145" s="36" t="str">
        <f aca="false">IF($W145="","",IF($T145=5,"High",IF($W145&gt;=Settings!$C$20,"High",IF(OR($W145&gt;=Settings!$C$21,$T145=4),"Medium","Low"))))</f>
        <v/>
      </c>
      <c r="Y145" s="34"/>
      <c r="Z145" s="37" t="str">
        <f aca="false">IF($O145="","",$O145*Settings!$C$5)</f>
        <v/>
      </c>
      <c r="AA145" s="37" t="n">
        <f aca="false">IF(OR($H145&lt;&gt;"Complaint",$P145&lt;&gt;"Upheld",$T145=""),0,IF($G145="",Settings!$C$6,$G145)*INDEX(Settings!$C$8:$C$12,6-$T145))</f>
        <v>0</v>
      </c>
      <c r="AB145" s="37" t="str">
        <f aca="false">IF($B145="","",IF($Y145="",0,$Y145)+IF($Z145="",0,$Z145)+IF($AA145="",0,$AA145))</f>
        <v/>
      </c>
      <c r="AC145" s="35"/>
      <c r="AD145" s="33"/>
      <c r="AE145" s="36" t="str">
        <f aca="false">IF($B145="","",IF(OR($H145="Nonconformity (process)",$S145="Yes",AND(ISNUMBER($W145),$W145&gt;=Settings!$C$20)),"YES – required","No"))</f>
        <v/>
      </c>
      <c r="AF145" s="33"/>
      <c r="AG145" s="33"/>
      <c r="AH145" s="32"/>
      <c r="AI145" s="33"/>
      <c r="AJ145" s="32"/>
      <c r="AK145" s="31" t="str">
        <f aca="false">IF(OR($B145="",$AJ145=""),"",$AJ145-$B145)</f>
        <v/>
      </c>
      <c r="AL145" s="31" t="str">
        <f aca="false">IF($X145="","",INDEX(Settings!$C$15:$C$17,MATCH($X145,Settings!$B$15:$B$17,0)))</f>
        <v/>
      </c>
      <c r="AM145" s="36" t="str">
        <f aca="true">IF($B145="","",IF($AH145="","No due date",IF($AI145="Closed",IF($AJ145="","Missing close date",IF($AJ145&lt;=$AH145,"On time","Late")),IF(TODAY()&gt;$AH145,"OVERDUE","In progress"))))</f>
        <v/>
      </c>
      <c r="AN145" s="35"/>
    </row>
    <row r="146" customFormat="false" ht="27.75" hidden="false" customHeight="true" outlineLevel="0" collapsed="false">
      <c r="A146" s="31" t="str">
        <f aca="false">IF($B146="","",ROW()-4)</f>
        <v/>
      </c>
      <c r="B146" s="32"/>
      <c r="C146" s="32"/>
      <c r="D146" s="33"/>
      <c r="E146" s="33"/>
      <c r="F146" s="33"/>
      <c r="G146" s="34"/>
      <c r="H146" s="33"/>
      <c r="I146" s="33"/>
      <c r="J146" s="33"/>
      <c r="K146" s="33"/>
      <c r="L146" s="35"/>
      <c r="M146" s="33"/>
      <c r="N146" s="33"/>
      <c r="O146" s="33"/>
      <c r="P146" s="33"/>
      <c r="Q146" s="35"/>
      <c r="R146" s="33"/>
      <c r="S146" s="33"/>
      <c r="T146" s="33"/>
      <c r="U146" s="33"/>
      <c r="V146" s="33"/>
      <c r="W146" s="31" t="str">
        <f aca="false">IF(OR($T146="",$U146="",$V146=""),"",$T146*$U146*$V146)</f>
        <v/>
      </c>
      <c r="X146" s="36" t="str">
        <f aca="false">IF($W146="","",IF($T146=5,"High",IF($W146&gt;=Settings!$C$20,"High",IF(OR($W146&gt;=Settings!$C$21,$T146=4),"Medium","Low"))))</f>
        <v/>
      </c>
      <c r="Y146" s="34"/>
      <c r="Z146" s="37" t="str">
        <f aca="false">IF($O146="","",$O146*Settings!$C$5)</f>
        <v/>
      </c>
      <c r="AA146" s="37" t="n">
        <f aca="false">IF(OR($H146&lt;&gt;"Complaint",$P146&lt;&gt;"Upheld",$T146=""),0,IF($G146="",Settings!$C$6,$G146)*INDEX(Settings!$C$8:$C$12,6-$T146))</f>
        <v>0</v>
      </c>
      <c r="AB146" s="37" t="str">
        <f aca="false">IF($B146="","",IF($Y146="",0,$Y146)+IF($Z146="",0,$Z146)+IF($AA146="",0,$AA146))</f>
        <v/>
      </c>
      <c r="AC146" s="35"/>
      <c r="AD146" s="33"/>
      <c r="AE146" s="36" t="str">
        <f aca="false">IF($B146="","",IF(OR($H146="Nonconformity (process)",$S146="Yes",AND(ISNUMBER($W146),$W146&gt;=Settings!$C$20)),"YES – required","No"))</f>
        <v/>
      </c>
      <c r="AF146" s="33"/>
      <c r="AG146" s="33"/>
      <c r="AH146" s="32"/>
      <c r="AI146" s="33"/>
      <c r="AJ146" s="32"/>
      <c r="AK146" s="31" t="str">
        <f aca="false">IF(OR($B146="",$AJ146=""),"",$AJ146-$B146)</f>
        <v/>
      </c>
      <c r="AL146" s="31" t="str">
        <f aca="false">IF($X146="","",INDEX(Settings!$C$15:$C$17,MATCH($X146,Settings!$B$15:$B$17,0)))</f>
        <v/>
      </c>
      <c r="AM146" s="36" t="str">
        <f aca="true">IF($B146="","",IF($AH146="","No due date",IF($AI146="Closed",IF($AJ146="","Missing close date",IF($AJ146&lt;=$AH146,"On time","Late")),IF(TODAY()&gt;$AH146,"OVERDUE","In progress"))))</f>
        <v/>
      </c>
      <c r="AN146" s="35"/>
    </row>
    <row r="147" customFormat="false" ht="27.75" hidden="false" customHeight="true" outlineLevel="0" collapsed="false">
      <c r="A147" s="31" t="str">
        <f aca="false">IF($B147="","",ROW()-4)</f>
        <v/>
      </c>
      <c r="B147" s="32"/>
      <c r="C147" s="32"/>
      <c r="D147" s="33"/>
      <c r="E147" s="33"/>
      <c r="F147" s="33"/>
      <c r="G147" s="34"/>
      <c r="H147" s="33"/>
      <c r="I147" s="33"/>
      <c r="J147" s="33"/>
      <c r="K147" s="33"/>
      <c r="L147" s="35"/>
      <c r="M147" s="33"/>
      <c r="N147" s="33"/>
      <c r="O147" s="33"/>
      <c r="P147" s="33"/>
      <c r="Q147" s="35"/>
      <c r="R147" s="33"/>
      <c r="S147" s="33"/>
      <c r="T147" s="33"/>
      <c r="U147" s="33"/>
      <c r="V147" s="33"/>
      <c r="W147" s="31" t="str">
        <f aca="false">IF(OR($T147="",$U147="",$V147=""),"",$T147*$U147*$V147)</f>
        <v/>
      </c>
      <c r="X147" s="36" t="str">
        <f aca="false">IF($W147="","",IF($T147=5,"High",IF($W147&gt;=Settings!$C$20,"High",IF(OR($W147&gt;=Settings!$C$21,$T147=4),"Medium","Low"))))</f>
        <v/>
      </c>
      <c r="Y147" s="34"/>
      <c r="Z147" s="37" t="str">
        <f aca="false">IF($O147="","",$O147*Settings!$C$5)</f>
        <v/>
      </c>
      <c r="AA147" s="37" t="n">
        <f aca="false">IF(OR($H147&lt;&gt;"Complaint",$P147&lt;&gt;"Upheld",$T147=""),0,IF($G147="",Settings!$C$6,$G147)*INDEX(Settings!$C$8:$C$12,6-$T147))</f>
        <v>0</v>
      </c>
      <c r="AB147" s="37" t="str">
        <f aca="false">IF($B147="","",IF($Y147="",0,$Y147)+IF($Z147="",0,$Z147)+IF($AA147="",0,$AA147))</f>
        <v/>
      </c>
      <c r="AC147" s="35"/>
      <c r="AD147" s="33"/>
      <c r="AE147" s="36" t="str">
        <f aca="false">IF($B147="","",IF(OR($H147="Nonconformity (process)",$S147="Yes",AND(ISNUMBER($W147),$W147&gt;=Settings!$C$20)),"YES – required","No"))</f>
        <v/>
      </c>
      <c r="AF147" s="33"/>
      <c r="AG147" s="33"/>
      <c r="AH147" s="32"/>
      <c r="AI147" s="33"/>
      <c r="AJ147" s="32"/>
      <c r="AK147" s="31" t="str">
        <f aca="false">IF(OR($B147="",$AJ147=""),"",$AJ147-$B147)</f>
        <v/>
      </c>
      <c r="AL147" s="31" t="str">
        <f aca="false">IF($X147="","",INDEX(Settings!$C$15:$C$17,MATCH($X147,Settings!$B$15:$B$17,0)))</f>
        <v/>
      </c>
      <c r="AM147" s="36" t="str">
        <f aca="true">IF($B147="","",IF($AH147="","No due date",IF($AI147="Closed",IF($AJ147="","Missing close date",IF($AJ147&lt;=$AH147,"On time","Late")),IF(TODAY()&gt;$AH147,"OVERDUE","In progress"))))</f>
        <v/>
      </c>
      <c r="AN147" s="35"/>
    </row>
    <row r="148" customFormat="false" ht="27.75" hidden="false" customHeight="true" outlineLevel="0" collapsed="false">
      <c r="A148" s="31" t="str">
        <f aca="false">IF($B148="","",ROW()-4)</f>
        <v/>
      </c>
      <c r="B148" s="32"/>
      <c r="C148" s="32"/>
      <c r="D148" s="33"/>
      <c r="E148" s="33"/>
      <c r="F148" s="33"/>
      <c r="G148" s="34"/>
      <c r="H148" s="33"/>
      <c r="I148" s="33"/>
      <c r="J148" s="33"/>
      <c r="K148" s="33"/>
      <c r="L148" s="35"/>
      <c r="M148" s="33"/>
      <c r="N148" s="33"/>
      <c r="O148" s="33"/>
      <c r="P148" s="33"/>
      <c r="Q148" s="35"/>
      <c r="R148" s="33"/>
      <c r="S148" s="33"/>
      <c r="T148" s="33"/>
      <c r="U148" s="33"/>
      <c r="V148" s="33"/>
      <c r="W148" s="31" t="str">
        <f aca="false">IF(OR($T148="",$U148="",$V148=""),"",$T148*$U148*$V148)</f>
        <v/>
      </c>
      <c r="X148" s="36" t="str">
        <f aca="false">IF($W148="","",IF($T148=5,"High",IF($W148&gt;=Settings!$C$20,"High",IF(OR($W148&gt;=Settings!$C$21,$T148=4),"Medium","Low"))))</f>
        <v/>
      </c>
      <c r="Y148" s="34"/>
      <c r="Z148" s="37" t="str">
        <f aca="false">IF($O148="","",$O148*Settings!$C$5)</f>
        <v/>
      </c>
      <c r="AA148" s="37" t="n">
        <f aca="false">IF(OR($H148&lt;&gt;"Complaint",$P148&lt;&gt;"Upheld",$T148=""),0,IF($G148="",Settings!$C$6,$G148)*INDEX(Settings!$C$8:$C$12,6-$T148))</f>
        <v>0</v>
      </c>
      <c r="AB148" s="37" t="str">
        <f aca="false">IF($B148="","",IF($Y148="",0,$Y148)+IF($Z148="",0,$Z148)+IF($AA148="",0,$AA148))</f>
        <v/>
      </c>
      <c r="AC148" s="35"/>
      <c r="AD148" s="33"/>
      <c r="AE148" s="36" t="str">
        <f aca="false">IF($B148="","",IF(OR($H148="Nonconformity (process)",$S148="Yes",AND(ISNUMBER($W148),$W148&gt;=Settings!$C$20)),"YES – required","No"))</f>
        <v/>
      </c>
      <c r="AF148" s="33"/>
      <c r="AG148" s="33"/>
      <c r="AH148" s="32"/>
      <c r="AI148" s="33"/>
      <c r="AJ148" s="32"/>
      <c r="AK148" s="31" t="str">
        <f aca="false">IF(OR($B148="",$AJ148=""),"",$AJ148-$B148)</f>
        <v/>
      </c>
      <c r="AL148" s="31" t="str">
        <f aca="false">IF($X148="","",INDEX(Settings!$C$15:$C$17,MATCH($X148,Settings!$B$15:$B$17,0)))</f>
        <v/>
      </c>
      <c r="AM148" s="36" t="str">
        <f aca="true">IF($B148="","",IF($AH148="","No due date",IF($AI148="Closed",IF($AJ148="","Missing close date",IF($AJ148&lt;=$AH148,"On time","Late")),IF(TODAY()&gt;$AH148,"OVERDUE","In progress"))))</f>
        <v/>
      </c>
      <c r="AN148" s="35"/>
    </row>
    <row r="149" customFormat="false" ht="27.75" hidden="false" customHeight="true" outlineLevel="0" collapsed="false">
      <c r="A149" s="31" t="str">
        <f aca="false">IF($B149="","",ROW()-4)</f>
        <v/>
      </c>
      <c r="B149" s="32"/>
      <c r="C149" s="32"/>
      <c r="D149" s="33"/>
      <c r="E149" s="33"/>
      <c r="F149" s="33"/>
      <c r="G149" s="34"/>
      <c r="H149" s="33"/>
      <c r="I149" s="33"/>
      <c r="J149" s="33"/>
      <c r="K149" s="33"/>
      <c r="L149" s="35"/>
      <c r="M149" s="33"/>
      <c r="N149" s="33"/>
      <c r="O149" s="33"/>
      <c r="P149" s="33"/>
      <c r="Q149" s="35"/>
      <c r="R149" s="33"/>
      <c r="S149" s="33"/>
      <c r="T149" s="33"/>
      <c r="U149" s="33"/>
      <c r="V149" s="33"/>
      <c r="W149" s="31" t="str">
        <f aca="false">IF(OR($T149="",$U149="",$V149=""),"",$T149*$U149*$V149)</f>
        <v/>
      </c>
      <c r="X149" s="36" t="str">
        <f aca="false">IF($W149="","",IF($T149=5,"High",IF($W149&gt;=Settings!$C$20,"High",IF(OR($W149&gt;=Settings!$C$21,$T149=4),"Medium","Low"))))</f>
        <v/>
      </c>
      <c r="Y149" s="34"/>
      <c r="Z149" s="37" t="str">
        <f aca="false">IF($O149="","",$O149*Settings!$C$5)</f>
        <v/>
      </c>
      <c r="AA149" s="37" t="n">
        <f aca="false">IF(OR($H149&lt;&gt;"Complaint",$P149&lt;&gt;"Upheld",$T149=""),0,IF($G149="",Settings!$C$6,$G149)*INDEX(Settings!$C$8:$C$12,6-$T149))</f>
        <v>0</v>
      </c>
      <c r="AB149" s="37" t="str">
        <f aca="false">IF($B149="","",IF($Y149="",0,$Y149)+IF($Z149="",0,$Z149)+IF($AA149="",0,$AA149))</f>
        <v/>
      </c>
      <c r="AC149" s="35"/>
      <c r="AD149" s="33"/>
      <c r="AE149" s="36" t="str">
        <f aca="false">IF($B149="","",IF(OR($H149="Nonconformity (process)",$S149="Yes",AND(ISNUMBER($W149),$W149&gt;=Settings!$C$20)),"YES – required","No"))</f>
        <v/>
      </c>
      <c r="AF149" s="33"/>
      <c r="AG149" s="33"/>
      <c r="AH149" s="32"/>
      <c r="AI149" s="33"/>
      <c r="AJ149" s="32"/>
      <c r="AK149" s="31" t="str">
        <f aca="false">IF(OR($B149="",$AJ149=""),"",$AJ149-$B149)</f>
        <v/>
      </c>
      <c r="AL149" s="31" t="str">
        <f aca="false">IF($X149="","",INDEX(Settings!$C$15:$C$17,MATCH($X149,Settings!$B$15:$B$17,0)))</f>
        <v/>
      </c>
      <c r="AM149" s="36" t="str">
        <f aca="true">IF($B149="","",IF($AH149="","No due date",IF($AI149="Closed",IF($AJ149="","Missing close date",IF($AJ149&lt;=$AH149,"On time","Late")),IF(TODAY()&gt;$AH149,"OVERDUE","In progress"))))</f>
        <v/>
      </c>
      <c r="AN149" s="35"/>
    </row>
    <row r="150" customFormat="false" ht="27.75" hidden="false" customHeight="true" outlineLevel="0" collapsed="false">
      <c r="A150" s="31" t="str">
        <f aca="false">IF($B150="","",ROW()-4)</f>
        <v/>
      </c>
      <c r="B150" s="32"/>
      <c r="C150" s="32"/>
      <c r="D150" s="33"/>
      <c r="E150" s="33"/>
      <c r="F150" s="33"/>
      <c r="G150" s="34"/>
      <c r="H150" s="33"/>
      <c r="I150" s="33"/>
      <c r="J150" s="33"/>
      <c r="K150" s="33"/>
      <c r="L150" s="35"/>
      <c r="M150" s="33"/>
      <c r="N150" s="33"/>
      <c r="O150" s="33"/>
      <c r="P150" s="33"/>
      <c r="Q150" s="35"/>
      <c r="R150" s="33"/>
      <c r="S150" s="33"/>
      <c r="T150" s="33"/>
      <c r="U150" s="33"/>
      <c r="V150" s="33"/>
      <c r="W150" s="31" t="str">
        <f aca="false">IF(OR($T150="",$U150="",$V150=""),"",$T150*$U150*$V150)</f>
        <v/>
      </c>
      <c r="X150" s="36" t="str">
        <f aca="false">IF($W150="","",IF($T150=5,"High",IF($W150&gt;=Settings!$C$20,"High",IF(OR($W150&gt;=Settings!$C$21,$T150=4),"Medium","Low"))))</f>
        <v/>
      </c>
      <c r="Y150" s="34"/>
      <c r="Z150" s="37" t="str">
        <f aca="false">IF($O150="","",$O150*Settings!$C$5)</f>
        <v/>
      </c>
      <c r="AA150" s="37" t="n">
        <f aca="false">IF(OR($H150&lt;&gt;"Complaint",$P150&lt;&gt;"Upheld",$T150=""),0,IF($G150="",Settings!$C$6,$G150)*INDEX(Settings!$C$8:$C$12,6-$T150))</f>
        <v>0</v>
      </c>
      <c r="AB150" s="37" t="str">
        <f aca="false">IF($B150="","",IF($Y150="",0,$Y150)+IF($Z150="",0,$Z150)+IF($AA150="",0,$AA150))</f>
        <v/>
      </c>
      <c r="AC150" s="35"/>
      <c r="AD150" s="33"/>
      <c r="AE150" s="36" t="str">
        <f aca="false">IF($B150="","",IF(OR($H150="Nonconformity (process)",$S150="Yes",AND(ISNUMBER($W150),$W150&gt;=Settings!$C$20)),"YES – required","No"))</f>
        <v/>
      </c>
      <c r="AF150" s="33"/>
      <c r="AG150" s="33"/>
      <c r="AH150" s="32"/>
      <c r="AI150" s="33"/>
      <c r="AJ150" s="32"/>
      <c r="AK150" s="31" t="str">
        <f aca="false">IF(OR($B150="",$AJ150=""),"",$AJ150-$B150)</f>
        <v/>
      </c>
      <c r="AL150" s="31" t="str">
        <f aca="false">IF($X150="","",INDEX(Settings!$C$15:$C$17,MATCH($X150,Settings!$B$15:$B$17,0)))</f>
        <v/>
      </c>
      <c r="AM150" s="36" t="str">
        <f aca="true">IF($B150="","",IF($AH150="","No due date",IF($AI150="Closed",IF($AJ150="","Missing close date",IF($AJ150&lt;=$AH150,"On time","Late")),IF(TODAY()&gt;$AH150,"OVERDUE","In progress"))))</f>
        <v/>
      </c>
      <c r="AN150" s="35"/>
    </row>
    <row r="151" customFormat="false" ht="27.75" hidden="false" customHeight="true" outlineLevel="0" collapsed="false">
      <c r="A151" s="31" t="str">
        <f aca="false">IF($B151="","",ROW()-4)</f>
        <v/>
      </c>
      <c r="B151" s="32"/>
      <c r="C151" s="32"/>
      <c r="D151" s="33"/>
      <c r="E151" s="33"/>
      <c r="F151" s="33"/>
      <c r="G151" s="34"/>
      <c r="H151" s="33"/>
      <c r="I151" s="33"/>
      <c r="J151" s="33"/>
      <c r="K151" s="33"/>
      <c r="L151" s="35"/>
      <c r="M151" s="33"/>
      <c r="N151" s="33"/>
      <c r="O151" s="33"/>
      <c r="P151" s="33"/>
      <c r="Q151" s="35"/>
      <c r="R151" s="33"/>
      <c r="S151" s="33"/>
      <c r="T151" s="33"/>
      <c r="U151" s="33"/>
      <c r="V151" s="33"/>
      <c r="W151" s="31" t="str">
        <f aca="false">IF(OR($T151="",$U151="",$V151=""),"",$T151*$U151*$V151)</f>
        <v/>
      </c>
      <c r="X151" s="36" t="str">
        <f aca="false">IF($W151="","",IF($T151=5,"High",IF($W151&gt;=Settings!$C$20,"High",IF(OR($W151&gt;=Settings!$C$21,$T151=4),"Medium","Low"))))</f>
        <v/>
      </c>
      <c r="Y151" s="34"/>
      <c r="Z151" s="37" t="str">
        <f aca="false">IF($O151="","",$O151*Settings!$C$5)</f>
        <v/>
      </c>
      <c r="AA151" s="37" t="n">
        <f aca="false">IF(OR($H151&lt;&gt;"Complaint",$P151&lt;&gt;"Upheld",$T151=""),0,IF($G151="",Settings!$C$6,$G151)*INDEX(Settings!$C$8:$C$12,6-$T151))</f>
        <v>0</v>
      </c>
      <c r="AB151" s="37" t="str">
        <f aca="false">IF($B151="","",IF($Y151="",0,$Y151)+IF($Z151="",0,$Z151)+IF($AA151="",0,$AA151))</f>
        <v/>
      </c>
      <c r="AC151" s="35"/>
      <c r="AD151" s="33"/>
      <c r="AE151" s="36" t="str">
        <f aca="false">IF($B151="","",IF(OR($H151="Nonconformity (process)",$S151="Yes",AND(ISNUMBER($W151),$W151&gt;=Settings!$C$20)),"YES – required","No"))</f>
        <v/>
      </c>
      <c r="AF151" s="33"/>
      <c r="AG151" s="33"/>
      <c r="AH151" s="32"/>
      <c r="AI151" s="33"/>
      <c r="AJ151" s="32"/>
      <c r="AK151" s="31" t="str">
        <f aca="false">IF(OR($B151="",$AJ151=""),"",$AJ151-$B151)</f>
        <v/>
      </c>
      <c r="AL151" s="31" t="str">
        <f aca="false">IF($X151="","",INDEX(Settings!$C$15:$C$17,MATCH($X151,Settings!$B$15:$B$17,0)))</f>
        <v/>
      </c>
      <c r="AM151" s="36" t="str">
        <f aca="true">IF($B151="","",IF($AH151="","No due date",IF($AI151="Closed",IF($AJ151="","Missing close date",IF($AJ151&lt;=$AH151,"On time","Late")),IF(TODAY()&gt;$AH151,"OVERDUE","In progress"))))</f>
        <v/>
      </c>
      <c r="AN151" s="35"/>
    </row>
    <row r="152" customFormat="false" ht="27.75" hidden="false" customHeight="true" outlineLevel="0" collapsed="false">
      <c r="A152" s="31" t="str">
        <f aca="false">IF($B152="","",ROW()-4)</f>
        <v/>
      </c>
      <c r="B152" s="32"/>
      <c r="C152" s="32"/>
      <c r="D152" s="33"/>
      <c r="E152" s="33"/>
      <c r="F152" s="33"/>
      <c r="G152" s="34"/>
      <c r="H152" s="33"/>
      <c r="I152" s="33"/>
      <c r="J152" s="33"/>
      <c r="K152" s="33"/>
      <c r="L152" s="35"/>
      <c r="M152" s="33"/>
      <c r="N152" s="33"/>
      <c r="O152" s="33"/>
      <c r="P152" s="33"/>
      <c r="Q152" s="35"/>
      <c r="R152" s="33"/>
      <c r="S152" s="33"/>
      <c r="T152" s="33"/>
      <c r="U152" s="33"/>
      <c r="V152" s="33"/>
      <c r="W152" s="31" t="str">
        <f aca="false">IF(OR($T152="",$U152="",$V152=""),"",$T152*$U152*$V152)</f>
        <v/>
      </c>
      <c r="X152" s="36" t="str">
        <f aca="false">IF($W152="","",IF($T152=5,"High",IF($W152&gt;=Settings!$C$20,"High",IF(OR($W152&gt;=Settings!$C$21,$T152=4),"Medium","Low"))))</f>
        <v/>
      </c>
      <c r="Y152" s="34"/>
      <c r="Z152" s="37" t="str">
        <f aca="false">IF($O152="","",$O152*Settings!$C$5)</f>
        <v/>
      </c>
      <c r="AA152" s="37" t="n">
        <f aca="false">IF(OR($H152&lt;&gt;"Complaint",$P152&lt;&gt;"Upheld",$T152=""),0,IF($G152="",Settings!$C$6,$G152)*INDEX(Settings!$C$8:$C$12,6-$T152))</f>
        <v>0</v>
      </c>
      <c r="AB152" s="37" t="str">
        <f aca="false">IF($B152="","",IF($Y152="",0,$Y152)+IF($Z152="",0,$Z152)+IF($AA152="",0,$AA152))</f>
        <v/>
      </c>
      <c r="AC152" s="35"/>
      <c r="AD152" s="33"/>
      <c r="AE152" s="36" t="str">
        <f aca="false">IF($B152="","",IF(OR($H152="Nonconformity (process)",$S152="Yes",AND(ISNUMBER($W152),$W152&gt;=Settings!$C$20)),"YES – required","No"))</f>
        <v/>
      </c>
      <c r="AF152" s="33"/>
      <c r="AG152" s="33"/>
      <c r="AH152" s="32"/>
      <c r="AI152" s="33"/>
      <c r="AJ152" s="32"/>
      <c r="AK152" s="31" t="str">
        <f aca="false">IF(OR($B152="",$AJ152=""),"",$AJ152-$B152)</f>
        <v/>
      </c>
      <c r="AL152" s="31" t="str">
        <f aca="false">IF($X152="","",INDEX(Settings!$C$15:$C$17,MATCH($X152,Settings!$B$15:$B$17,0)))</f>
        <v/>
      </c>
      <c r="AM152" s="36" t="str">
        <f aca="true">IF($B152="","",IF($AH152="","No due date",IF($AI152="Closed",IF($AJ152="","Missing close date",IF($AJ152&lt;=$AH152,"On time","Late")),IF(TODAY()&gt;$AH152,"OVERDUE","In progress"))))</f>
        <v/>
      </c>
      <c r="AN152" s="35"/>
    </row>
    <row r="153" customFormat="false" ht="27.75" hidden="false" customHeight="true" outlineLevel="0" collapsed="false">
      <c r="A153" s="31" t="str">
        <f aca="false">IF($B153="","",ROW()-4)</f>
        <v/>
      </c>
      <c r="B153" s="32"/>
      <c r="C153" s="32"/>
      <c r="D153" s="33"/>
      <c r="E153" s="33"/>
      <c r="F153" s="33"/>
      <c r="G153" s="34"/>
      <c r="H153" s="33"/>
      <c r="I153" s="33"/>
      <c r="J153" s="33"/>
      <c r="K153" s="33"/>
      <c r="L153" s="35"/>
      <c r="M153" s="33"/>
      <c r="N153" s="33"/>
      <c r="O153" s="33"/>
      <c r="P153" s="33"/>
      <c r="Q153" s="35"/>
      <c r="R153" s="33"/>
      <c r="S153" s="33"/>
      <c r="T153" s="33"/>
      <c r="U153" s="33"/>
      <c r="V153" s="33"/>
      <c r="W153" s="31" t="str">
        <f aca="false">IF(OR($T153="",$U153="",$V153=""),"",$T153*$U153*$V153)</f>
        <v/>
      </c>
      <c r="X153" s="36" t="str">
        <f aca="false">IF($W153="","",IF($T153=5,"High",IF($W153&gt;=Settings!$C$20,"High",IF(OR($W153&gt;=Settings!$C$21,$T153=4),"Medium","Low"))))</f>
        <v/>
      </c>
      <c r="Y153" s="34"/>
      <c r="Z153" s="37" t="str">
        <f aca="false">IF($O153="","",$O153*Settings!$C$5)</f>
        <v/>
      </c>
      <c r="AA153" s="37" t="n">
        <f aca="false">IF(OR($H153&lt;&gt;"Complaint",$P153&lt;&gt;"Upheld",$T153=""),0,IF($G153="",Settings!$C$6,$G153)*INDEX(Settings!$C$8:$C$12,6-$T153))</f>
        <v>0</v>
      </c>
      <c r="AB153" s="37" t="str">
        <f aca="false">IF($B153="","",IF($Y153="",0,$Y153)+IF($Z153="",0,$Z153)+IF($AA153="",0,$AA153))</f>
        <v/>
      </c>
      <c r="AC153" s="35"/>
      <c r="AD153" s="33"/>
      <c r="AE153" s="36" t="str">
        <f aca="false">IF($B153="","",IF(OR($H153="Nonconformity (process)",$S153="Yes",AND(ISNUMBER($W153),$W153&gt;=Settings!$C$20)),"YES – required","No"))</f>
        <v/>
      </c>
      <c r="AF153" s="33"/>
      <c r="AG153" s="33"/>
      <c r="AH153" s="32"/>
      <c r="AI153" s="33"/>
      <c r="AJ153" s="32"/>
      <c r="AK153" s="31" t="str">
        <f aca="false">IF(OR($B153="",$AJ153=""),"",$AJ153-$B153)</f>
        <v/>
      </c>
      <c r="AL153" s="31" t="str">
        <f aca="false">IF($X153="","",INDEX(Settings!$C$15:$C$17,MATCH($X153,Settings!$B$15:$B$17,0)))</f>
        <v/>
      </c>
      <c r="AM153" s="36" t="str">
        <f aca="true">IF($B153="","",IF($AH153="","No due date",IF($AI153="Closed",IF($AJ153="","Missing close date",IF($AJ153&lt;=$AH153,"On time","Late")),IF(TODAY()&gt;$AH153,"OVERDUE","In progress"))))</f>
        <v/>
      </c>
      <c r="AN153" s="35"/>
    </row>
    <row r="154" customFormat="false" ht="27.75" hidden="false" customHeight="true" outlineLevel="0" collapsed="false">
      <c r="A154" s="31" t="str">
        <f aca="false">IF($B154="","",ROW()-4)</f>
        <v/>
      </c>
      <c r="B154" s="32"/>
      <c r="C154" s="32"/>
      <c r="D154" s="33"/>
      <c r="E154" s="33"/>
      <c r="F154" s="33"/>
      <c r="G154" s="34"/>
      <c r="H154" s="33"/>
      <c r="I154" s="33"/>
      <c r="J154" s="33"/>
      <c r="K154" s="33"/>
      <c r="L154" s="35"/>
      <c r="M154" s="33"/>
      <c r="N154" s="33"/>
      <c r="O154" s="33"/>
      <c r="P154" s="33"/>
      <c r="Q154" s="35"/>
      <c r="R154" s="33"/>
      <c r="S154" s="33"/>
      <c r="T154" s="33"/>
      <c r="U154" s="33"/>
      <c r="V154" s="33"/>
      <c r="W154" s="31" t="str">
        <f aca="false">IF(OR($T154="",$U154="",$V154=""),"",$T154*$U154*$V154)</f>
        <v/>
      </c>
      <c r="X154" s="36" t="str">
        <f aca="false">IF($W154="","",IF($T154=5,"High",IF($W154&gt;=Settings!$C$20,"High",IF(OR($W154&gt;=Settings!$C$21,$T154=4),"Medium","Low"))))</f>
        <v/>
      </c>
      <c r="Y154" s="34"/>
      <c r="Z154" s="37" t="str">
        <f aca="false">IF($O154="","",$O154*Settings!$C$5)</f>
        <v/>
      </c>
      <c r="AA154" s="37" t="n">
        <f aca="false">IF(OR($H154&lt;&gt;"Complaint",$P154&lt;&gt;"Upheld",$T154=""),0,IF($G154="",Settings!$C$6,$G154)*INDEX(Settings!$C$8:$C$12,6-$T154))</f>
        <v>0</v>
      </c>
      <c r="AB154" s="37" t="str">
        <f aca="false">IF($B154="","",IF($Y154="",0,$Y154)+IF($Z154="",0,$Z154)+IF($AA154="",0,$AA154))</f>
        <v/>
      </c>
      <c r="AC154" s="35"/>
      <c r="AD154" s="33"/>
      <c r="AE154" s="36" t="str">
        <f aca="false">IF($B154="","",IF(OR($H154="Nonconformity (process)",$S154="Yes",AND(ISNUMBER($W154),$W154&gt;=Settings!$C$20)),"YES – required","No"))</f>
        <v/>
      </c>
      <c r="AF154" s="33"/>
      <c r="AG154" s="33"/>
      <c r="AH154" s="32"/>
      <c r="AI154" s="33"/>
      <c r="AJ154" s="32"/>
      <c r="AK154" s="31" t="str">
        <f aca="false">IF(OR($B154="",$AJ154=""),"",$AJ154-$B154)</f>
        <v/>
      </c>
      <c r="AL154" s="31" t="str">
        <f aca="false">IF($X154="","",INDEX(Settings!$C$15:$C$17,MATCH($X154,Settings!$B$15:$B$17,0)))</f>
        <v/>
      </c>
      <c r="AM154" s="36" t="str">
        <f aca="true">IF($B154="","",IF($AH154="","No due date",IF($AI154="Closed",IF($AJ154="","Missing close date",IF($AJ154&lt;=$AH154,"On time","Late")),IF(TODAY()&gt;$AH154,"OVERDUE","In progress"))))</f>
        <v/>
      </c>
      <c r="AN154" s="35"/>
    </row>
    <row r="155" customFormat="false" ht="27.75" hidden="false" customHeight="true" outlineLevel="0" collapsed="false">
      <c r="A155" s="31" t="str">
        <f aca="false">IF($B155="","",ROW()-4)</f>
        <v/>
      </c>
      <c r="B155" s="32"/>
      <c r="C155" s="32"/>
      <c r="D155" s="33"/>
      <c r="E155" s="33"/>
      <c r="F155" s="33"/>
      <c r="G155" s="34"/>
      <c r="H155" s="33"/>
      <c r="I155" s="33"/>
      <c r="J155" s="33"/>
      <c r="K155" s="33"/>
      <c r="L155" s="35"/>
      <c r="M155" s="33"/>
      <c r="N155" s="33"/>
      <c r="O155" s="33"/>
      <c r="P155" s="33"/>
      <c r="Q155" s="35"/>
      <c r="R155" s="33"/>
      <c r="S155" s="33"/>
      <c r="T155" s="33"/>
      <c r="U155" s="33"/>
      <c r="V155" s="33"/>
      <c r="W155" s="31" t="str">
        <f aca="false">IF(OR($T155="",$U155="",$V155=""),"",$T155*$U155*$V155)</f>
        <v/>
      </c>
      <c r="X155" s="36" t="str">
        <f aca="false">IF($W155="","",IF($T155=5,"High",IF($W155&gt;=Settings!$C$20,"High",IF(OR($W155&gt;=Settings!$C$21,$T155=4),"Medium","Low"))))</f>
        <v/>
      </c>
      <c r="Y155" s="34"/>
      <c r="Z155" s="37" t="str">
        <f aca="false">IF($O155="","",$O155*Settings!$C$5)</f>
        <v/>
      </c>
      <c r="AA155" s="37" t="n">
        <f aca="false">IF(OR($H155&lt;&gt;"Complaint",$P155&lt;&gt;"Upheld",$T155=""),0,IF($G155="",Settings!$C$6,$G155)*INDEX(Settings!$C$8:$C$12,6-$T155))</f>
        <v>0</v>
      </c>
      <c r="AB155" s="37" t="str">
        <f aca="false">IF($B155="","",IF($Y155="",0,$Y155)+IF($Z155="",0,$Z155)+IF($AA155="",0,$AA155))</f>
        <v/>
      </c>
      <c r="AC155" s="35"/>
      <c r="AD155" s="33"/>
      <c r="AE155" s="36" t="str">
        <f aca="false">IF($B155="","",IF(OR($H155="Nonconformity (process)",$S155="Yes",AND(ISNUMBER($W155),$W155&gt;=Settings!$C$20)),"YES – required","No"))</f>
        <v/>
      </c>
      <c r="AF155" s="33"/>
      <c r="AG155" s="33"/>
      <c r="AH155" s="32"/>
      <c r="AI155" s="33"/>
      <c r="AJ155" s="32"/>
      <c r="AK155" s="31" t="str">
        <f aca="false">IF(OR($B155="",$AJ155=""),"",$AJ155-$B155)</f>
        <v/>
      </c>
      <c r="AL155" s="31" t="str">
        <f aca="false">IF($X155="","",INDEX(Settings!$C$15:$C$17,MATCH($X155,Settings!$B$15:$B$17,0)))</f>
        <v/>
      </c>
      <c r="AM155" s="36" t="str">
        <f aca="true">IF($B155="","",IF($AH155="","No due date",IF($AI155="Closed",IF($AJ155="","Missing close date",IF($AJ155&lt;=$AH155,"On time","Late")),IF(TODAY()&gt;$AH155,"OVERDUE","In progress"))))</f>
        <v/>
      </c>
      <c r="AN155" s="35"/>
    </row>
    <row r="156" customFormat="false" ht="27.75" hidden="false" customHeight="true" outlineLevel="0" collapsed="false">
      <c r="A156" s="31" t="str">
        <f aca="false">IF($B156="","",ROW()-4)</f>
        <v/>
      </c>
      <c r="B156" s="32"/>
      <c r="C156" s="32"/>
      <c r="D156" s="33"/>
      <c r="E156" s="33"/>
      <c r="F156" s="33"/>
      <c r="G156" s="34"/>
      <c r="H156" s="33"/>
      <c r="I156" s="33"/>
      <c r="J156" s="33"/>
      <c r="K156" s="33"/>
      <c r="L156" s="35"/>
      <c r="M156" s="33"/>
      <c r="N156" s="33"/>
      <c r="O156" s="33"/>
      <c r="P156" s="33"/>
      <c r="Q156" s="35"/>
      <c r="R156" s="33"/>
      <c r="S156" s="33"/>
      <c r="T156" s="33"/>
      <c r="U156" s="33"/>
      <c r="V156" s="33"/>
      <c r="W156" s="31" t="str">
        <f aca="false">IF(OR($T156="",$U156="",$V156=""),"",$T156*$U156*$V156)</f>
        <v/>
      </c>
      <c r="X156" s="36" t="str">
        <f aca="false">IF($W156="","",IF($T156=5,"High",IF($W156&gt;=Settings!$C$20,"High",IF(OR($W156&gt;=Settings!$C$21,$T156=4),"Medium","Low"))))</f>
        <v/>
      </c>
      <c r="Y156" s="34"/>
      <c r="Z156" s="37" t="str">
        <f aca="false">IF($O156="","",$O156*Settings!$C$5)</f>
        <v/>
      </c>
      <c r="AA156" s="37" t="n">
        <f aca="false">IF(OR($H156&lt;&gt;"Complaint",$P156&lt;&gt;"Upheld",$T156=""),0,IF($G156="",Settings!$C$6,$G156)*INDEX(Settings!$C$8:$C$12,6-$T156))</f>
        <v>0</v>
      </c>
      <c r="AB156" s="37" t="str">
        <f aca="false">IF($B156="","",IF($Y156="",0,$Y156)+IF($Z156="",0,$Z156)+IF($AA156="",0,$AA156))</f>
        <v/>
      </c>
      <c r="AC156" s="35"/>
      <c r="AD156" s="33"/>
      <c r="AE156" s="36" t="str">
        <f aca="false">IF($B156="","",IF(OR($H156="Nonconformity (process)",$S156="Yes",AND(ISNUMBER($W156),$W156&gt;=Settings!$C$20)),"YES – required","No"))</f>
        <v/>
      </c>
      <c r="AF156" s="33"/>
      <c r="AG156" s="33"/>
      <c r="AH156" s="32"/>
      <c r="AI156" s="33"/>
      <c r="AJ156" s="32"/>
      <c r="AK156" s="31" t="str">
        <f aca="false">IF(OR($B156="",$AJ156=""),"",$AJ156-$B156)</f>
        <v/>
      </c>
      <c r="AL156" s="31" t="str">
        <f aca="false">IF($X156="","",INDEX(Settings!$C$15:$C$17,MATCH($X156,Settings!$B$15:$B$17,0)))</f>
        <v/>
      </c>
      <c r="AM156" s="36" t="str">
        <f aca="true">IF($B156="","",IF($AH156="","No due date",IF($AI156="Closed",IF($AJ156="","Missing close date",IF($AJ156&lt;=$AH156,"On time","Late")),IF(TODAY()&gt;$AH156,"OVERDUE","In progress"))))</f>
        <v/>
      </c>
      <c r="AN156" s="35"/>
    </row>
    <row r="157" customFormat="false" ht="27.75" hidden="false" customHeight="true" outlineLevel="0" collapsed="false">
      <c r="A157" s="31" t="str">
        <f aca="false">IF($B157="","",ROW()-4)</f>
        <v/>
      </c>
      <c r="B157" s="32"/>
      <c r="C157" s="32"/>
      <c r="D157" s="33"/>
      <c r="E157" s="33"/>
      <c r="F157" s="33"/>
      <c r="G157" s="34"/>
      <c r="H157" s="33"/>
      <c r="I157" s="33"/>
      <c r="J157" s="33"/>
      <c r="K157" s="33"/>
      <c r="L157" s="35"/>
      <c r="M157" s="33"/>
      <c r="N157" s="33"/>
      <c r="O157" s="33"/>
      <c r="P157" s="33"/>
      <c r="Q157" s="35"/>
      <c r="R157" s="33"/>
      <c r="S157" s="33"/>
      <c r="T157" s="33"/>
      <c r="U157" s="33"/>
      <c r="V157" s="33"/>
      <c r="W157" s="31" t="str">
        <f aca="false">IF(OR($T157="",$U157="",$V157=""),"",$T157*$U157*$V157)</f>
        <v/>
      </c>
      <c r="X157" s="36" t="str">
        <f aca="false">IF($W157="","",IF($T157=5,"High",IF($W157&gt;=Settings!$C$20,"High",IF(OR($W157&gt;=Settings!$C$21,$T157=4),"Medium","Low"))))</f>
        <v/>
      </c>
      <c r="Y157" s="34"/>
      <c r="Z157" s="37" t="str">
        <f aca="false">IF($O157="","",$O157*Settings!$C$5)</f>
        <v/>
      </c>
      <c r="AA157" s="37" t="n">
        <f aca="false">IF(OR($H157&lt;&gt;"Complaint",$P157&lt;&gt;"Upheld",$T157=""),0,IF($G157="",Settings!$C$6,$G157)*INDEX(Settings!$C$8:$C$12,6-$T157))</f>
        <v>0</v>
      </c>
      <c r="AB157" s="37" t="str">
        <f aca="false">IF($B157="","",IF($Y157="",0,$Y157)+IF($Z157="",0,$Z157)+IF($AA157="",0,$AA157))</f>
        <v/>
      </c>
      <c r="AC157" s="35"/>
      <c r="AD157" s="33"/>
      <c r="AE157" s="36" t="str">
        <f aca="false">IF($B157="","",IF(OR($H157="Nonconformity (process)",$S157="Yes",AND(ISNUMBER($W157),$W157&gt;=Settings!$C$20)),"YES – required","No"))</f>
        <v/>
      </c>
      <c r="AF157" s="33"/>
      <c r="AG157" s="33"/>
      <c r="AH157" s="32"/>
      <c r="AI157" s="33"/>
      <c r="AJ157" s="32"/>
      <c r="AK157" s="31" t="str">
        <f aca="false">IF(OR($B157="",$AJ157=""),"",$AJ157-$B157)</f>
        <v/>
      </c>
      <c r="AL157" s="31" t="str">
        <f aca="false">IF($X157="","",INDEX(Settings!$C$15:$C$17,MATCH($X157,Settings!$B$15:$B$17,0)))</f>
        <v/>
      </c>
      <c r="AM157" s="36" t="str">
        <f aca="true">IF($B157="","",IF($AH157="","No due date",IF($AI157="Closed",IF($AJ157="","Missing close date",IF($AJ157&lt;=$AH157,"On time","Late")),IF(TODAY()&gt;$AH157,"OVERDUE","In progress"))))</f>
        <v/>
      </c>
      <c r="AN157" s="35"/>
    </row>
    <row r="158" customFormat="false" ht="27.75" hidden="false" customHeight="true" outlineLevel="0" collapsed="false">
      <c r="A158" s="31" t="str">
        <f aca="false">IF($B158="","",ROW()-4)</f>
        <v/>
      </c>
      <c r="B158" s="32"/>
      <c r="C158" s="32"/>
      <c r="D158" s="33"/>
      <c r="E158" s="33"/>
      <c r="F158" s="33"/>
      <c r="G158" s="34"/>
      <c r="H158" s="33"/>
      <c r="I158" s="33"/>
      <c r="J158" s="33"/>
      <c r="K158" s="33"/>
      <c r="L158" s="35"/>
      <c r="M158" s="33"/>
      <c r="N158" s="33"/>
      <c r="O158" s="33"/>
      <c r="P158" s="33"/>
      <c r="Q158" s="35"/>
      <c r="R158" s="33"/>
      <c r="S158" s="33"/>
      <c r="T158" s="33"/>
      <c r="U158" s="33"/>
      <c r="V158" s="33"/>
      <c r="W158" s="31" t="str">
        <f aca="false">IF(OR($T158="",$U158="",$V158=""),"",$T158*$U158*$V158)</f>
        <v/>
      </c>
      <c r="X158" s="36" t="str">
        <f aca="false">IF($W158="","",IF($T158=5,"High",IF($W158&gt;=Settings!$C$20,"High",IF(OR($W158&gt;=Settings!$C$21,$T158=4),"Medium","Low"))))</f>
        <v/>
      </c>
      <c r="Y158" s="34"/>
      <c r="Z158" s="37" t="str">
        <f aca="false">IF($O158="","",$O158*Settings!$C$5)</f>
        <v/>
      </c>
      <c r="AA158" s="37" t="n">
        <f aca="false">IF(OR($H158&lt;&gt;"Complaint",$P158&lt;&gt;"Upheld",$T158=""),0,IF($G158="",Settings!$C$6,$G158)*INDEX(Settings!$C$8:$C$12,6-$T158))</f>
        <v>0</v>
      </c>
      <c r="AB158" s="37" t="str">
        <f aca="false">IF($B158="","",IF($Y158="",0,$Y158)+IF($Z158="",0,$Z158)+IF($AA158="",0,$AA158))</f>
        <v/>
      </c>
      <c r="AC158" s="35"/>
      <c r="AD158" s="33"/>
      <c r="AE158" s="36" t="str">
        <f aca="false">IF($B158="","",IF(OR($H158="Nonconformity (process)",$S158="Yes",AND(ISNUMBER($W158),$W158&gt;=Settings!$C$20)),"YES – required","No"))</f>
        <v/>
      </c>
      <c r="AF158" s="33"/>
      <c r="AG158" s="33"/>
      <c r="AH158" s="32"/>
      <c r="AI158" s="33"/>
      <c r="AJ158" s="32"/>
      <c r="AK158" s="31" t="str">
        <f aca="false">IF(OR($B158="",$AJ158=""),"",$AJ158-$B158)</f>
        <v/>
      </c>
      <c r="AL158" s="31" t="str">
        <f aca="false">IF($X158="","",INDEX(Settings!$C$15:$C$17,MATCH($X158,Settings!$B$15:$B$17,0)))</f>
        <v/>
      </c>
      <c r="AM158" s="36" t="str">
        <f aca="true">IF($B158="","",IF($AH158="","No due date",IF($AI158="Closed",IF($AJ158="","Missing close date",IF($AJ158&lt;=$AH158,"On time","Late")),IF(TODAY()&gt;$AH158,"OVERDUE","In progress"))))</f>
        <v/>
      </c>
      <c r="AN158" s="35"/>
    </row>
    <row r="159" customFormat="false" ht="27.75" hidden="false" customHeight="true" outlineLevel="0" collapsed="false">
      <c r="A159" s="31" t="str">
        <f aca="false">IF($B159="","",ROW()-4)</f>
        <v/>
      </c>
      <c r="B159" s="32"/>
      <c r="C159" s="32"/>
      <c r="D159" s="33"/>
      <c r="E159" s="33"/>
      <c r="F159" s="33"/>
      <c r="G159" s="34"/>
      <c r="H159" s="33"/>
      <c r="I159" s="33"/>
      <c r="J159" s="33"/>
      <c r="K159" s="33"/>
      <c r="L159" s="35"/>
      <c r="M159" s="33"/>
      <c r="N159" s="33"/>
      <c r="O159" s="33"/>
      <c r="P159" s="33"/>
      <c r="Q159" s="35"/>
      <c r="R159" s="33"/>
      <c r="S159" s="33"/>
      <c r="T159" s="33"/>
      <c r="U159" s="33"/>
      <c r="V159" s="33"/>
      <c r="W159" s="31" t="str">
        <f aca="false">IF(OR($T159="",$U159="",$V159=""),"",$T159*$U159*$V159)</f>
        <v/>
      </c>
      <c r="X159" s="36" t="str">
        <f aca="false">IF($W159="","",IF($T159=5,"High",IF($W159&gt;=Settings!$C$20,"High",IF(OR($W159&gt;=Settings!$C$21,$T159=4),"Medium","Low"))))</f>
        <v/>
      </c>
      <c r="Y159" s="34"/>
      <c r="Z159" s="37" t="str">
        <f aca="false">IF($O159="","",$O159*Settings!$C$5)</f>
        <v/>
      </c>
      <c r="AA159" s="37" t="n">
        <f aca="false">IF(OR($H159&lt;&gt;"Complaint",$P159&lt;&gt;"Upheld",$T159=""),0,IF($G159="",Settings!$C$6,$G159)*INDEX(Settings!$C$8:$C$12,6-$T159))</f>
        <v>0</v>
      </c>
      <c r="AB159" s="37" t="str">
        <f aca="false">IF($B159="","",IF($Y159="",0,$Y159)+IF($Z159="",0,$Z159)+IF($AA159="",0,$AA159))</f>
        <v/>
      </c>
      <c r="AC159" s="35"/>
      <c r="AD159" s="33"/>
      <c r="AE159" s="36" t="str">
        <f aca="false">IF($B159="","",IF(OR($H159="Nonconformity (process)",$S159="Yes",AND(ISNUMBER($W159),$W159&gt;=Settings!$C$20)),"YES – required","No"))</f>
        <v/>
      </c>
      <c r="AF159" s="33"/>
      <c r="AG159" s="33"/>
      <c r="AH159" s="32"/>
      <c r="AI159" s="33"/>
      <c r="AJ159" s="32"/>
      <c r="AK159" s="31" t="str">
        <f aca="false">IF(OR($B159="",$AJ159=""),"",$AJ159-$B159)</f>
        <v/>
      </c>
      <c r="AL159" s="31" t="str">
        <f aca="false">IF($X159="","",INDEX(Settings!$C$15:$C$17,MATCH($X159,Settings!$B$15:$B$17,0)))</f>
        <v/>
      </c>
      <c r="AM159" s="36" t="str">
        <f aca="true">IF($B159="","",IF($AH159="","No due date",IF($AI159="Closed",IF($AJ159="","Missing close date",IF($AJ159&lt;=$AH159,"On time","Late")),IF(TODAY()&gt;$AH159,"OVERDUE","In progress"))))</f>
        <v/>
      </c>
      <c r="AN159" s="35"/>
    </row>
    <row r="160" customFormat="false" ht="27.75" hidden="false" customHeight="true" outlineLevel="0" collapsed="false">
      <c r="A160" s="31" t="str">
        <f aca="false">IF($B160="","",ROW()-4)</f>
        <v/>
      </c>
      <c r="B160" s="32"/>
      <c r="C160" s="32"/>
      <c r="D160" s="33"/>
      <c r="E160" s="33"/>
      <c r="F160" s="33"/>
      <c r="G160" s="34"/>
      <c r="H160" s="33"/>
      <c r="I160" s="33"/>
      <c r="J160" s="33"/>
      <c r="K160" s="33"/>
      <c r="L160" s="35"/>
      <c r="M160" s="33"/>
      <c r="N160" s="33"/>
      <c r="O160" s="33"/>
      <c r="P160" s="33"/>
      <c r="Q160" s="35"/>
      <c r="R160" s="33"/>
      <c r="S160" s="33"/>
      <c r="T160" s="33"/>
      <c r="U160" s="33"/>
      <c r="V160" s="33"/>
      <c r="W160" s="31" t="str">
        <f aca="false">IF(OR($T160="",$U160="",$V160=""),"",$T160*$U160*$V160)</f>
        <v/>
      </c>
      <c r="X160" s="36" t="str">
        <f aca="false">IF($W160="","",IF($T160=5,"High",IF($W160&gt;=Settings!$C$20,"High",IF(OR($W160&gt;=Settings!$C$21,$T160=4),"Medium","Low"))))</f>
        <v/>
      </c>
      <c r="Y160" s="34"/>
      <c r="Z160" s="37" t="str">
        <f aca="false">IF($O160="","",$O160*Settings!$C$5)</f>
        <v/>
      </c>
      <c r="AA160" s="37" t="n">
        <f aca="false">IF(OR($H160&lt;&gt;"Complaint",$P160&lt;&gt;"Upheld",$T160=""),0,IF($G160="",Settings!$C$6,$G160)*INDEX(Settings!$C$8:$C$12,6-$T160))</f>
        <v>0</v>
      </c>
      <c r="AB160" s="37" t="str">
        <f aca="false">IF($B160="","",IF($Y160="",0,$Y160)+IF($Z160="",0,$Z160)+IF($AA160="",0,$AA160))</f>
        <v/>
      </c>
      <c r="AC160" s="35"/>
      <c r="AD160" s="33"/>
      <c r="AE160" s="36" t="str">
        <f aca="false">IF($B160="","",IF(OR($H160="Nonconformity (process)",$S160="Yes",AND(ISNUMBER($W160),$W160&gt;=Settings!$C$20)),"YES – required","No"))</f>
        <v/>
      </c>
      <c r="AF160" s="33"/>
      <c r="AG160" s="33"/>
      <c r="AH160" s="32"/>
      <c r="AI160" s="33"/>
      <c r="AJ160" s="32"/>
      <c r="AK160" s="31" t="str">
        <f aca="false">IF(OR($B160="",$AJ160=""),"",$AJ160-$B160)</f>
        <v/>
      </c>
      <c r="AL160" s="31" t="str">
        <f aca="false">IF($X160="","",INDEX(Settings!$C$15:$C$17,MATCH($X160,Settings!$B$15:$B$17,0)))</f>
        <v/>
      </c>
      <c r="AM160" s="36" t="str">
        <f aca="true">IF($B160="","",IF($AH160="","No due date",IF($AI160="Closed",IF($AJ160="","Missing close date",IF($AJ160&lt;=$AH160,"On time","Late")),IF(TODAY()&gt;$AH160,"OVERDUE","In progress"))))</f>
        <v/>
      </c>
      <c r="AN160" s="35"/>
    </row>
    <row r="161" customFormat="false" ht="27.75" hidden="false" customHeight="true" outlineLevel="0" collapsed="false">
      <c r="A161" s="31" t="str">
        <f aca="false">IF($B161="","",ROW()-4)</f>
        <v/>
      </c>
      <c r="B161" s="32"/>
      <c r="C161" s="32"/>
      <c r="D161" s="33"/>
      <c r="E161" s="33"/>
      <c r="F161" s="33"/>
      <c r="G161" s="34"/>
      <c r="H161" s="33"/>
      <c r="I161" s="33"/>
      <c r="J161" s="33"/>
      <c r="K161" s="33"/>
      <c r="L161" s="35"/>
      <c r="M161" s="33"/>
      <c r="N161" s="33"/>
      <c r="O161" s="33"/>
      <c r="P161" s="33"/>
      <c r="Q161" s="35"/>
      <c r="R161" s="33"/>
      <c r="S161" s="33"/>
      <c r="T161" s="33"/>
      <c r="U161" s="33"/>
      <c r="V161" s="33"/>
      <c r="W161" s="31" t="str">
        <f aca="false">IF(OR($T161="",$U161="",$V161=""),"",$T161*$U161*$V161)</f>
        <v/>
      </c>
      <c r="X161" s="36" t="str">
        <f aca="false">IF($W161="","",IF($T161=5,"High",IF($W161&gt;=Settings!$C$20,"High",IF(OR($W161&gt;=Settings!$C$21,$T161=4),"Medium","Low"))))</f>
        <v/>
      </c>
      <c r="Y161" s="34"/>
      <c r="Z161" s="37" t="str">
        <f aca="false">IF($O161="","",$O161*Settings!$C$5)</f>
        <v/>
      </c>
      <c r="AA161" s="37" t="n">
        <f aca="false">IF(OR($H161&lt;&gt;"Complaint",$P161&lt;&gt;"Upheld",$T161=""),0,IF($G161="",Settings!$C$6,$G161)*INDEX(Settings!$C$8:$C$12,6-$T161))</f>
        <v>0</v>
      </c>
      <c r="AB161" s="37" t="str">
        <f aca="false">IF($B161="","",IF($Y161="",0,$Y161)+IF($Z161="",0,$Z161)+IF($AA161="",0,$AA161))</f>
        <v/>
      </c>
      <c r="AC161" s="35"/>
      <c r="AD161" s="33"/>
      <c r="AE161" s="36" t="str">
        <f aca="false">IF($B161="","",IF(OR($H161="Nonconformity (process)",$S161="Yes",AND(ISNUMBER($W161),$W161&gt;=Settings!$C$20)),"YES – required","No"))</f>
        <v/>
      </c>
      <c r="AF161" s="33"/>
      <c r="AG161" s="33"/>
      <c r="AH161" s="32"/>
      <c r="AI161" s="33"/>
      <c r="AJ161" s="32"/>
      <c r="AK161" s="31" t="str">
        <f aca="false">IF(OR($B161="",$AJ161=""),"",$AJ161-$B161)</f>
        <v/>
      </c>
      <c r="AL161" s="31" t="str">
        <f aca="false">IF($X161="","",INDEX(Settings!$C$15:$C$17,MATCH($X161,Settings!$B$15:$B$17,0)))</f>
        <v/>
      </c>
      <c r="AM161" s="36" t="str">
        <f aca="true">IF($B161="","",IF($AH161="","No due date",IF($AI161="Closed",IF($AJ161="","Missing close date",IF($AJ161&lt;=$AH161,"On time","Late")),IF(TODAY()&gt;$AH161,"OVERDUE","In progress"))))</f>
        <v/>
      </c>
      <c r="AN161" s="35"/>
    </row>
    <row r="162" customFormat="false" ht="27.75" hidden="false" customHeight="true" outlineLevel="0" collapsed="false">
      <c r="A162" s="31" t="str">
        <f aca="false">IF($B162="","",ROW()-4)</f>
        <v/>
      </c>
      <c r="B162" s="32"/>
      <c r="C162" s="32"/>
      <c r="D162" s="33"/>
      <c r="E162" s="33"/>
      <c r="F162" s="33"/>
      <c r="G162" s="34"/>
      <c r="H162" s="33"/>
      <c r="I162" s="33"/>
      <c r="J162" s="33"/>
      <c r="K162" s="33"/>
      <c r="L162" s="35"/>
      <c r="M162" s="33"/>
      <c r="N162" s="33"/>
      <c r="O162" s="33"/>
      <c r="P162" s="33"/>
      <c r="Q162" s="35"/>
      <c r="R162" s="33"/>
      <c r="S162" s="33"/>
      <c r="T162" s="33"/>
      <c r="U162" s="33"/>
      <c r="V162" s="33"/>
      <c r="W162" s="31" t="str">
        <f aca="false">IF(OR($T162="",$U162="",$V162=""),"",$T162*$U162*$V162)</f>
        <v/>
      </c>
      <c r="X162" s="36" t="str">
        <f aca="false">IF($W162="","",IF($T162=5,"High",IF($W162&gt;=Settings!$C$20,"High",IF(OR($W162&gt;=Settings!$C$21,$T162=4),"Medium","Low"))))</f>
        <v/>
      </c>
      <c r="Y162" s="34"/>
      <c r="Z162" s="37" t="str">
        <f aca="false">IF($O162="","",$O162*Settings!$C$5)</f>
        <v/>
      </c>
      <c r="AA162" s="37" t="n">
        <f aca="false">IF(OR($H162&lt;&gt;"Complaint",$P162&lt;&gt;"Upheld",$T162=""),0,IF($G162="",Settings!$C$6,$G162)*INDEX(Settings!$C$8:$C$12,6-$T162))</f>
        <v>0</v>
      </c>
      <c r="AB162" s="37" t="str">
        <f aca="false">IF($B162="","",IF($Y162="",0,$Y162)+IF($Z162="",0,$Z162)+IF($AA162="",0,$AA162))</f>
        <v/>
      </c>
      <c r="AC162" s="35"/>
      <c r="AD162" s="33"/>
      <c r="AE162" s="36" t="str">
        <f aca="false">IF($B162="","",IF(OR($H162="Nonconformity (process)",$S162="Yes",AND(ISNUMBER($W162),$W162&gt;=Settings!$C$20)),"YES – required","No"))</f>
        <v/>
      </c>
      <c r="AF162" s="33"/>
      <c r="AG162" s="33"/>
      <c r="AH162" s="32"/>
      <c r="AI162" s="33"/>
      <c r="AJ162" s="32"/>
      <c r="AK162" s="31" t="str">
        <f aca="false">IF(OR($B162="",$AJ162=""),"",$AJ162-$B162)</f>
        <v/>
      </c>
      <c r="AL162" s="31" t="str">
        <f aca="false">IF($X162="","",INDEX(Settings!$C$15:$C$17,MATCH($X162,Settings!$B$15:$B$17,0)))</f>
        <v/>
      </c>
      <c r="AM162" s="36" t="str">
        <f aca="true">IF($B162="","",IF($AH162="","No due date",IF($AI162="Closed",IF($AJ162="","Missing close date",IF($AJ162&lt;=$AH162,"On time","Late")),IF(TODAY()&gt;$AH162,"OVERDUE","In progress"))))</f>
        <v/>
      </c>
      <c r="AN162" s="35"/>
    </row>
    <row r="163" customFormat="false" ht="27.75" hidden="false" customHeight="true" outlineLevel="0" collapsed="false">
      <c r="A163" s="31" t="str">
        <f aca="false">IF($B163="","",ROW()-4)</f>
        <v/>
      </c>
      <c r="B163" s="32"/>
      <c r="C163" s="32"/>
      <c r="D163" s="33"/>
      <c r="E163" s="33"/>
      <c r="F163" s="33"/>
      <c r="G163" s="34"/>
      <c r="H163" s="33"/>
      <c r="I163" s="33"/>
      <c r="J163" s="33"/>
      <c r="K163" s="33"/>
      <c r="L163" s="35"/>
      <c r="M163" s="33"/>
      <c r="N163" s="33"/>
      <c r="O163" s="33"/>
      <c r="P163" s="33"/>
      <c r="Q163" s="35"/>
      <c r="R163" s="33"/>
      <c r="S163" s="33"/>
      <c r="T163" s="33"/>
      <c r="U163" s="33"/>
      <c r="V163" s="33"/>
      <c r="W163" s="31" t="str">
        <f aca="false">IF(OR($T163="",$U163="",$V163=""),"",$T163*$U163*$V163)</f>
        <v/>
      </c>
      <c r="X163" s="36" t="str">
        <f aca="false">IF($W163="","",IF($T163=5,"High",IF($W163&gt;=Settings!$C$20,"High",IF(OR($W163&gt;=Settings!$C$21,$T163=4),"Medium","Low"))))</f>
        <v/>
      </c>
      <c r="Y163" s="34"/>
      <c r="Z163" s="37" t="str">
        <f aca="false">IF($O163="","",$O163*Settings!$C$5)</f>
        <v/>
      </c>
      <c r="AA163" s="37" t="n">
        <f aca="false">IF(OR($H163&lt;&gt;"Complaint",$P163&lt;&gt;"Upheld",$T163=""),0,IF($G163="",Settings!$C$6,$G163)*INDEX(Settings!$C$8:$C$12,6-$T163))</f>
        <v>0</v>
      </c>
      <c r="AB163" s="37" t="str">
        <f aca="false">IF($B163="","",IF($Y163="",0,$Y163)+IF($Z163="",0,$Z163)+IF($AA163="",0,$AA163))</f>
        <v/>
      </c>
      <c r="AC163" s="35"/>
      <c r="AD163" s="33"/>
      <c r="AE163" s="36" t="str">
        <f aca="false">IF($B163="","",IF(OR($H163="Nonconformity (process)",$S163="Yes",AND(ISNUMBER($W163),$W163&gt;=Settings!$C$20)),"YES – required","No"))</f>
        <v/>
      </c>
      <c r="AF163" s="33"/>
      <c r="AG163" s="33"/>
      <c r="AH163" s="32"/>
      <c r="AI163" s="33"/>
      <c r="AJ163" s="32"/>
      <c r="AK163" s="31" t="str">
        <f aca="false">IF(OR($B163="",$AJ163=""),"",$AJ163-$B163)</f>
        <v/>
      </c>
      <c r="AL163" s="31" t="str">
        <f aca="false">IF($X163="","",INDEX(Settings!$C$15:$C$17,MATCH($X163,Settings!$B$15:$B$17,0)))</f>
        <v/>
      </c>
      <c r="AM163" s="36" t="str">
        <f aca="true">IF($B163="","",IF($AH163="","No due date",IF($AI163="Closed",IF($AJ163="","Missing close date",IF($AJ163&lt;=$AH163,"On time","Late")),IF(TODAY()&gt;$AH163,"OVERDUE","In progress"))))</f>
        <v/>
      </c>
      <c r="AN163" s="35"/>
    </row>
    <row r="164" customFormat="false" ht="27.75" hidden="false" customHeight="true" outlineLevel="0" collapsed="false">
      <c r="A164" s="31" t="str">
        <f aca="false">IF($B164="","",ROW()-4)</f>
        <v/>
      </c>
      <c r="B164" s="32"/>
      <c r="C164" s="32"/>
      <c r="D164" s="33"/>
      <c r="E164" s="33"/>
      <c r="F164" s="33"/>
      <c r="G164" s="34"/>
      <c r="H164" s="33"/>
      <c r="I164" s="33"/>
      <c r="J164" s="33"/>
      <c r="K164" s="33"/>
      <c r="L164" s="35"/>
      <c r="M164" s="33"/>
      <c r="N164" s="33"/>
      <c r="O164" s="33"/>
      <c r="P164" s="33"/>
      <c r="Q164" s="35"/>
      <c r="R164" s="33"/>
      <c r="S164" s="33"/>
      <c r="T164" s="33"/>
      <c r="U164" s="33"/>
      <c r="V164" s="33"/>
      <c r="W164" s="31" t="str">
        <f aca="false">IF(OR($T164="",$U164="",$V164=""),"",$T164*$U164*$V164)</f>
        <v/>
      </c>
      <c r="X164" s="36" t="str">
        <f aca="false">IF($W164="","",IF($T164=5,"High",IF($W164&gt;=Settings!$C$20,"High",IF(OR($W164&gt;=Settings!$C$21,$T164=4),"Medium","Low"))))</f>
        <v/>
      </c>
      <c r="Y164" s="34"/>
      <c r="Z164" s="37" t="str">
        <f aca="false">IF($O164="","",$O164*Settings!$C$5)</f>
        <v/>
      </c>
      <c r="AA164" s="37" t="n">
        <f aca="false">IF(OR($H164&lt;&gt;"Complaint",$P164&lt;&gt;"Upheld",$T164=""),0,IF($G164="",Settings!$C$6,$G164)*INDEX(Settings!$C$8:$C$12,6-$T164))</f>
        <v>0</v>
      </c>
      <c r="AB164" s="37" t="str">
        <f aca="false">IF($B164="","",IF($Y164="",0,$Y164)+IF($Z164="",0,$Z164)+IF($AA164="",0,$AA164))</f>
        <v/>
      </c>
      <c r="AC164" s="35"/>
      <c r="AD164" s="33"/>
      <c r="AE164" s="36" t="str">
        <f aca="false">IF($B164="","",IF(OR($H164="Nonconformity (process)",$S164="Yes",AND(ISNUMBER($W164),$W164&gt;=Settings!$C$20)),"YES – required","No"))</f>
        <v/>
      </c>
      <c r="AF164" s="33"/>
      <c r="AG164" s="33"/>
      <c r="AH164" s="32"/>
      <c r="AI164" s="33"/>
      <c r="AJ164" s="32"/>
      <c r="AK164" s="31" t="str">
        <f aca="false">IF(OR($B164="",$AJ164=""),"",$AJ164-$B164)</f>
        <v/>
      </c>
      <c r="AL164" s="31" t="str">
        <f aca="false">IF($X164="","",INDEX(Settings!$C$15:$C$17,MATCH($X164,Settings!$B$15:$B$17,0)))</f>
        <v/>
      </c>
      <c r="AM164" s="36" t="str">
        <f aca="true">IF($B164="","",IF($AH164="","No due date",IF($AI164="Closed",IF($AJ164="","Missing close date",IF($AJ164&lt;=$AH164,"On time","Late")),IF(TODAY()&gt;$AH164,"OVERDUE","In progress"))))</f>
        <v/>
      </c>
      <c r="AN164" s="35"/>
    </row>
    <row r="165" customFormat="false" ht="27.75" hidden="false" customHeight="true" outlineLevel="0" collapsed="false">
      <c r="A165" s="31" t="str">
        <f aca="false">IF($B165="","",ROW()-4)</f>
        <v/>
      </c>
      <c r="B165" s="32"/>
      <c r="C165" s="32"/>
      <c r="D165" s="33"/>
      <c r="E165" s="33"/>
      <c r="F165" s="33"/>
      <c r="G165" s="34"/>
      <c r="H165" s="33"/>
      <c r="I165" s="33"/>
      <c r="J165" s="33"/>
      <c r="K165" s="33"/>
      <c r="L165" s="35"/>
      <c r="M165" s="33"/>
      <c r="N165" s="33"/>
      <c r="O165" s="33"/>
      <c r="P165" s="33"/>
      <c r="Q165" s="35"/>
      <c r="R165" s="33"/>
      <c r="S165" s="33"/>
      <c r="T165" s="33"/>
      <c r="U165" s="33"/>
      <c r="V165" s="33"/>
      <c r="W165" s="31" t="str">
        <f aca="false">IF(OR($T165="",$U165="",$V165=""),"",$T165*$U165*$V165)</f>
        <v/>
      </c>
      <c r="X165" s="36" t="str">
        <f aca="false">IF($W165="","",IF($T165=5,"High",IF($W165&gt;=Settings!$C$20,"High",IF(OR($W165&gt;=Settings!$C$21,$T165=4),"Medium","Low"))))</f>
        <v/>
      </c>
      <c r="Y165" s="34"/>
      <c r="Z165" s="37" t="str">
        <f aca="false">IF($O165="","",$O165*Settings!$C$5)</f>
        <v/>
      </c>
      <c r="AA165" s="37" t="n">
        <f aca="false">IF(OR($H165&lt;&gt;"Complaint",$P165&lt;&gt;"Upheld",$T165=""),0,IF($G165="",Settings!$C$6,$G165)*INDEX(Settings!$C$8:$C$12,6-$T165))</f>
        <v>0</v>
      </c>
      <c r="AB165" s="37" t="str">
        <f aca="false">IF($B165="","",IF($Y165="",0,$Y165)+IF($Z165="",0,$Z165)+IF($AA165="",0,$AA165))</f>
        <v/>
      </c>
      <c r="AC165" s="35"/>
      <c r="AD165" s="33"/>
      <c r="AE165" s="36" t="str">
        <f aca="false">IF($B165="","",IF(OR($H165="Nonconformity (process)",$S165="Yes",AND(ISNUMBER($W165),$W165&gt;=Settings!$C$20)),"YES – required","No"))</f>
        <v/>
      </c>
      <c r="AF165" s="33"/>
      <c r="AG165" s="33"/>
      <c r="AH165" s="32"/>
      <c r="AI165" s="33"/>
      <c r="AJ165" s="32"/>
      <c r="AK165" s="31" t="str">
        <f aca="false">IF(OR($B165="",$AJ165=""),"",$AJ165-$B165)</f>
        <v/>
      </c>
      <c r="AL165" s="31" t="str">
        <f aca="false">IF($X165="","",INDEX(Settings!$C$15:$C$17,MATCH($X165,Settings!$B$15:$B$17,0)))</f>
        <v/>
      </c>
      <c r="AM165" s="36" t="str">
        <f aca="true">IF($B165="","",IF($AH165="","No due date",IF($AI165="Closed",IF($AJ165="","Missing close date",IF($AJ165&lt;=$AH165,"On time","Late")),IF(TODAY()&gt;$AH165,"OVERDUE","In progress"))))</f>
        <v/>
      </c>
      <c r="AN165" s="35"/>
    </row>
    <row r="166" customFormat="false" ht="27.75" hidden="false" customHeight="true" outlineLevel="0" collapsed="false">
      <c r="A166" s="31" t="str">
        <f aca="false">IF($B166="","",ROW()-4)</f>
        <v/>
      </c>
      <c r="B166" s="32"/>
      <c r="C166" s="32"/>
      <c r="D166" s="33"/>
      <c r="E166" s="33"/>
      <c r="F166" s="33"/>
      <c r="G166" s="34"/>
      <c r="H166" s="33"/>
      <c r="I166" s="33"/>
      <c r="J166" s="33"/>
      <c r="K166" s="33"/>
      <c r="L166" s="35"/>
      <c r="M166" s="33"/>
      <c r="N166" s="33"/>
      <c r="O166" s="33"/>
      <c r="P166" s="33"/>
      <c r="Q166" s="35"/>
      <c r="R166" s="33"/>
      <c r="S166" s="33"/>
      <c r="T166" s="33"/>
      <c r="U166" s="33"/>
      <c r="V166" s="33"/>
      <c r="W166" s="31" t="str">
        <f aca="false">IF(OR($T166="",$U166="",$V166=""),"",$T166*$U166*$V166)</f>
        <v/>
      </c>
      <c r="X166" s="36" t="str">
        <f aca="false">IF($W166="","",IF($T166=5,"High",IF($W166&gt;=Settings!$C$20,"High",IF(OR($W166&gt;=Settings!$C$21,$T166=4),"Medium","Low"))))</f>
        <v/>
      </c>
      <c r="Y166" s="34"/>
      <c r="Z166" s="37" t="str">
        <f aca="false">IF($O166="","",$O166*Settings!$C$5)</f>
        <v/>
      </c>
      <c r="AA166" s="37" t="n">
        <f aca="false">IF(OR($H166&lt;&gt;"Complaint",$P166&lt;&gt;"Upheld",$T166=""),0,IF($G166="",Settings!$C$6,$G166)*INDEX(Settings!$C$8:$C$12,6-$T166))</f>
        <v>0</v>
      </c>
      <c r="AB166" s="37" t="str">
        <f aca="false">IF($B166="","",IF($Y166="",0,$Y166)+IF($Z166="",0,$Z166)+IF($AA166="",0,$AA166))</f>
        <v/>
      </c>
      <c r="AC166" s="35"/>
      <c r="AD166" s="33"/>
      <c r="AE166" s="36" t="str">
        <f aca="false">IF($B166="","",IF(OR($H166="Nonconformity (process)",$S166="Yes",AND(ISNUMBER($W166),$W166&gt;=Settings!$C$20)),"YES – required","No"))</f>
        <v/>
      </c>
      <c r="AF166" s="33"/>
      <c r="AG166" s="33"/>
      <c r="AH166" s="32"/>
      <c r="AI166" s="33"/>
      <c r="AJ166" s="32"/>
      <c r="AK166" s="31" t="str">
        <f aca="false">IF(OR($B166="",$AJ166=""),"",$AJ166-$B166)</f>
        <v/>
      </c>
      <c r="AL166" s="31" t="str">
        <f aca="false">IF($X166="","",INDEX(Settings!$C$15:$C$17,MATCH($X166,Settings!$B$15:$B$17,0)))</f>
        <v/>
      </c>
      <c r="AM166" s="36" t="str">
        <f aca="true">IF($B166="","",IF($AH166="","No due date",IF($AI166="Closed",IF($AJ166="","Missing close date",IF($AJ166&lt;=$AH166,"On time","Late")),IF(TODAY()&gt;$AH166,"OVERDUE","In progress"))))</f>
        <v/>
      </c>
      <c r="AN166" s="35"/>
    </row>
    <row r="167" customFormat="false" ht="27.75" hidden="false" customHeight="true" outlineLevel="0" collapsed="false">
      <c r="A167" s="31" t="str">
        <f aca="false">IF($B167="","",ROW()-4)</f>
        <v/>
      </c>
      <c r="B167" s="32"/>
      <c r="C167" s="32"/>
      <c r="D167" s="33"/>
      <c r="E167" s="33"/>
      <c r="F167" s="33"/>
      <c r="G167" s="34"/>
      <c r="H167" s="33"/>
      <c r="I167" s="33"/>
      <c r="J167" s="33"/>
      <c r="K167" s="33"/>
      <c r="L167" s="35"/>
      <c r="M167" s="33"/>
      <c r="N167" s="33"/>
      <c r="O167" s="33"/>
      <c r="P167" s="33"/>
      <c r="Q167" s="35"/>
      <c r="R167" s="33"/>
      <c r="S167" s="33"/>
      <c r="T167" s="33"/>
      <c r="U167" s="33"/>
      <c r="V167" s="33"/>
      <c r="W167" s="31" t="str">
        <f aca="false">IF(OR($T167="",$U167="",$V167=""),"",$T167*$U167*$V167)</f>
        <v/>
      </c>
      <c r="X167" s="36" t="str">
        <f aca="false">IF($W167="","",IF($T167=5,"High",IF($W167&gt;=Settings!$C$20,"High",IF(OR($W167&gt;=Settings!$C$21,$T167=4),"Medium","Low"))))</f>
        <v/>
      </c>
      <c r="Y167" s="34"/>
      <c r="Z167" s="37" t="str">
        <f aca="false">IF($O167="","",$O167*Settings!$C$5)</f>
        <v/>
      </c>
      <c r="AA167" s="37" t="n">
        <f aca="false">IF(OR($H167&lt;&gt;"Complaint",$P167&lt;&gt;"Upheld",$T167=""),0,IF($G167="",Settings!$C$6,$G167)*INDEX(Settings!$C$8:$C$12,6-$T167))</f>
        <v>0</v>
      </c>
      <c r="AB167" s="37" t="str">
        <f aca="false">IF($B167="","",IF($Y167="",0,$Y167)+IF($Z167="",0,$Z167)+IF($AA167="",0,$AA167))</f>
        <v/>
      </c>
      <c r="AC167" s="35"/>
      <c r="AD167" s="33"/>
      <c r="AE167" s="36" t="str">
        <f aca="false">IF($B167="","",IF(OR($H167="Nonconformity (process)",$S167="Yes",AND(ISNUMBER($W167),$W167&gt;=Settings!$C$20)),"YES – required","No"))</f>
        <v/>
      </c>
      <c r="AF167" s="33"/>
      <c r="AG167" s="33"/>
      <c r="AH167" s="32"/>
      <c r="AI167" s="33"/>
      <c r="AJ167" s="32"/>
      <c r="AK167" s="31" t="str">
        <f aca="false">IF(OR($B167="",$AJ167=""),"",$AJ167-$B167)</f>
        <v/>
      </c>
      <c r="AL167" s="31" t="str">
        <f aca="false">IF($X167="","",INDEX(Settings!$C$15:$C$17,MATCH($X167,Settings!$B$15:$B$17,0)))</f>
        <v/>
      </c>
      <c r="AM167" s="36" t="str">
        <f aca="true">IF($B167="","",IF($AH167="","No due date",IF($AI167="Closed",IF($AJ167="","Missing close date",IF($AJ167&lt;=$AH167,"On time","Late")),IF(TODAY()&gt;$AH167,"OVERDUE","In progress"))))</f>
        <v/>
      </c>
      <c r="AN167" s="35"/>
    </row>
    <row r="168" customFormat="false" ht="27.75" hidden="false" customHeight="true" outlineLevel="0" collapsed="false">
      <c r="A168" s="31" t="str">
        <f aca="false">IF($B168="","",ROW()-4)</f>
        <v/>
      </c>
      <c r="B168" s="32"/>
      <c r="C168" s="32"/>
      <c r="D168" s="33"/>
      <c r="E168" s="33"/>
      <c r="F168" s="33"/>
      <c r="G168" s="34"/>
      <c r="H168" s="33"/>
      <c r="I168" s="33"/>
      <c r="J168" s="33"/>
      <c r="K168" s="33"/>
      <c r="L168" s="35"/>
      <c r="M168" s="33"/>
      <c r="N168" s="33"/>
      <c r="O168" s="33"/>
      <c r="P168" s="33"/>
      <c r="Q168" s="35"/>
      <c r="R168" s="33"/>
      <c r="S168" s="33"/>
      <c r="T168" s="33"/>
      <c r="U168" s="33"/>
      <c r="V168" s="33"/>
      <c r="W168" s="31" t="str">
        <f aca="false">IF(OR($T168="",$U168="",$V168=""),"",$T168*$U168*$V168)</f>
        <v/>
      </c>
      <c r="X168" s="36" t="str">
        <f aca="false">IF($W168="","",IF($T168=5,"High",IF($W168&gt;=Settings!$C$20,"High",IF(OR($W168&gt;=Settings!$C$21,$T168=4),"Medium","Low"))))</f>
        <v/>
      </c>
      <c r="Y168" s="34"/>
      <c r="Z168" s="37" t="str">
        <f aca="false">IF($O168="","",$O168*Settings!$C$5)</f>
        <v/>
      </c>
      <c r="AA168" s="37" t="n">
        <f aca="false">IF(OR($H168&lt;&gt;"Complaint",$P168&lt;&gt;"Upheld",$T168=""),0,IF($G168="",Settings!$C$6,$G168)*INDEX(Settings!$C$8:$C$12,6-$T168))</f>
        <v>0</v>
      </c>
      <c r="AB168" s="37" t="str">
        <f aca="false">IF($B168="","",IF($Y168="",0,$Y168)+IF($Z168="",0,$Z168)+IF($AA168="",0,$AA168))</f>
        <v/>
      </c>
      <c r="AC168" s="35"/>
      <c r="AD168" s="33"/>
      <c r="AE168" s="36" t="str">
        <f aca="false">IF($B168="","",IF(OR($H168="Nonconformity (process)",$S168="Yes",AND(ISNUMBER($W168),$W168&gt;=Settings!$C$20)),"YES – required","No"))</f>
        <v/>
      </c>
      <c r="AF168" s="33"/>
      <c r="AG168" s="33"/>
      <c r="AH168" s="32"/>
      <c r="AI168" s="33"/>
      <c r="AJ168" s="32"/>
      <c r="AK168" s="31" t="str">
        <f aca="false">IF(OR($B168="",$AJ168=""),"",$AJ168-$B168)</f>
        <v/>
      </c>
      <c r="AL168" s="31" t="str">
        <f aca="false">IF($X168="","",INDEX(Settings!$C$15:$C$17,MATCH($X168,Settings!$B$15:$B$17,0)))</f>
        <v/>
      </c>
      <c r="AM168" s="36" t="str">
        <f aca="true">IF($B168="","",IF($AH168="","No due date",IF($AI168="Closed",IF($AJ168="","Missing close date",IF($AJ168&lt;=$AH168,"On time","Late")),IF(TODAY()&gt;$AH168,"OVERDUE","In progress"))))</f>
        <v/>
      </c>
      <c r="AN168" s="35"/>
    </row>
    <row r="169" customFormat="false" ht="27.75" hidden="false" customHeight="true" outlineLevel="0" collapsed="false">
      <c r="A169" s="31" t="str">
        <f aca="false">IF($B169="","",ROW()-4)</f>
        <v/>
      </c>
      <c r="B169" s="32"/>
      <c r="C169" s="32"/>
      <c r="D169" s="33"/>
      <c r="E169" s="33"/>
      <c r="F169" s="33"/>
      <c r="G169" s="34"/>
      <c r="H169" s="33"/>
      <c r="I169" s="33"/>
      <c r="J169" s="33"/>
      <c r="K169" s="33"/>
      <c r="L169" s="35"/>
      <c r="M169" s="33"/>
      <c r="N169" s="33"/>
      <c r="O169" s="33"/>
      <c r="P169" s="33"/>
      <c r="Q169" s="35"/>
      <c r="R169" s="33"/>
      <c r="S169" s="33"/>
      <c r="T169" s="33"/>
      <c r="U169" s="33"/>
      <c r="V169" s="33"/>
      <c r="W169" s="31" t="str">
        <f aca="false">IF(OR($T169="",$U169="",$V169=""),"",$T169*$U169*$V169)</f>
        <v/>
      </c>
      <c r="X169" s="36" t="str">
        <f aca="false">IF($W169="","",IF($T169=5,"High",IF($W169&gt;=Settings!$C$20,"High",IF(OR($W169&gt;=Settings!$C$21,$T169=4),"Medium","Low"))))</f>
        <v/>
      </c>
      <c r="Y169" s="34"/>
      <c r="Z169" s="37" t="str">
        <f aca="false">IF($O169="","",$O169*Settings!$C$5)</f>
        <v/>
      </c>
      <c r="AA169" s="37" t="n">
        <f aca="false">IF(OR($H169&lt;&gt;"Complaint",$P169&lt;&gt;"Upheld",$T169=""),0,IF($G169="",Settings!$C$6,$G169)*INDEX(Settings!$C$8:$C$12,6-$T169))</f>
        <v>0</v>
      </c>
      <c r="AB169" s="37" t="str">
        <f aca="false">IF($B169="","",IF($Y169="",0,$Y169)+IF($Z169="",0,$Z169)+IF($AA169="",0,$AA169))</f>
        <v/>
      </c>
      <c r="AC169" s="35"/>
      <c r="AD169" s="33"/>
      <c r="AE169" s="36" t="str">
        <f aca="false">IF($B169="","",IF(OR($H169="Nonconformity (process)",$S169="Yes",AND(ISNUMBER($W169),$W169&gt;=Settings!$C$20)),"YES – required","No"))</f>
        <v/>
      </c>
      <c r="AF169" s="33"/>
      <c r="AG169" s="33"/>
      <c r="AH169" s="32"/>
      <c r="AI169" s="33"/>
      <c r="AJ169" s="32"/>
      <c r="AK169" s="31" t="str">
        <f aca="false">IF(OR($B169="",$AJ169=""),"",$AJ169-$B169)</f>
        <v/>
      </c>
      <c r="AL169" s="31" t="str">
        <f aca="false">IF($X169="","",INDEX(Settings!$C$15:$C$17,MATCH($X169,Settings!$B$15:$B$17,0)))</f>
        <v/>
      </c>
      <c r="AM169" s="36" t="str">
        <f aca="true">IF($B169="","",IF($AH169="","No due date",IF($AI169="Closed",IF($AJ169="","Missing close date",IF($AJ169&lt;=$AH169,"On time","Late")),IF(TODAY()&gt;$AH169,"OVERDUE","In progress"))))</f>
        <v/>
      </c>
      <c r="AN169" s="35"/>
    </row>
    <row r="170" customFormat="false" ht="27.75" hidden="false" customHeight="true" outlineLevel="0" collapsed="false">
      <c r="A170" s="31" t="str">
        <f aca="false">IF($B170="","",ROW()-4)</f>
        <v/>
      </c>
      <c r="B170" s="32"/>
      <c r="C170" s="32"/>
      <c r="D170" s="33"/>
      <c r="E170" s="33"/>
      <c r="F170" s="33"/>
      <c r="G170" s="34"/>
      <c r="H170" s="33"/>
      <c r="I170" s="33"/>
      <c r="J170" s="33"/>
      <c r="K170" s="33"/>
      <c r="L170" s="35"/>
      <c r="M170" s="33"/>
      <c r="N170" s="33"/>
      <c r="O170" s="33"/>
      <c r="P170" s="33"/>
      <c r="Q170" s="35"/>
      <c r="R170" s="33"/>
      <c r="S170" s="33"/>
      <c r="T170" s="33"/>
      <c r="U170" s="33"/>
      <c r="V170" s="33"/>
      <c r="W170" s="31" t="str">
        <f aca="false">IF(OR($T170="",$U170="",$V170=""),"",$T170*$U170*$V170)</f>
        <v/>
      </c>
      <c r="X170" s="36" t="str">
        <f aca="false">IF($W170="","",IF($T170=5,"High",IF($W170&gt;=Settings!$C$20,"High",IF(OR($W170&gt;=Settings!$C$21,$T170=4),"Medium","Low"))))</f>
        <v/>
      </c>
      <c r="Y170" s="34"/>
      <c r="Z170" s="37" t="str">
        <f aca="false">IF($O170="","",$O170*Settings!$C$5)</f>
        <v/>
      </c>
      <c r="AA170" s="37" t="n">
        <f aca="false">IF(OR($H170&lt;&gt;"Complaint",$P170&lt;&gt;"Upheld",$T170=""),0,IF($G170="",Settings!$C$6,$G170)*INDEX(Settings!$C$8:$C$12,6-$T170))</f>
        <v>0</v>
      </c>
      <c r="AB170" s="37" t="str">
        <f aca="false">IF($B170="","",IF($Y170="",0,$Y170)+IF($Z170="",0,$Z170)+IF($AA170="",0,$AA170))</f>
        <v/>
      </c>
      <c r="AC170" s="35"/>
      <c r="AD170" s="33"/>
      <c r="AE170" s="36" t="str">
        <f aca="false">IF($B170="","",IF(OR($H170="Nonconformity (process)",$S170="Yes",AND(ISNUMBER($W170),$W170&gt;=Settings!$C$20)),"YES – required","No"))</f>
        <v/>
      </c>
      <c r="AF170" s="33"/>
      <c r="AG170" s="33"/>
      <c r="AH170" s="32"/>
      <c r="AI170" s="33"/>
      <c r="AJ170" s="32"/>
      <c r="AK170" s="31" t="str">
        <f aca="false">IF(OR($B170="",$AJ170=""),"",$AJ170-$B170)</f>
        <v/>
      </c>
      <c r="AL170" s="31" t="str">
        <f aca="false">IF($X170="","",INDEX(Settings!$C$15:$C$17,MATCH($X170,Settings!$B$15:$B$17,0)))</f>
        <v/>
      </c>
      <c r="AM170" s="36" t="str">
        <f aca="true">IF($B170="","",IF($AH170="","No due date",IF($AI170="Closed",IF($AJ170="","Missing close date",IF($AJ170&lt;=$AH170,"On time","Late")),IF(TODAY()&gt;$AH170,"OVERDUE","In progress"))))</f>
        <v/>
      </c>
      <c r="AN170" s="35"/>
    </row>
    <row r="171" customFormat="false" ht="27.75" hidden="false" customHeight="true" outlineLevel="0" collapsed="false">
      <c r="A171" s="31" t="str">
        <f aca="false">IF($B171="","",ROW()-4)</f>
        <v/>
      </c>
      <c r="B171" s="32"/>
      <c r="C171" s="32"/>
      <c r="D171" s="33"/>
      <c r="E171" s="33"/>
      <c r="F171" s="33"/>
      <c r="G171" s="34"/>
      <c r="H171" s="33"/>
      <c r="I171" s="33"/>
      <c r="J171" s="33"/>
      <c r="K171" s="33"/>
      <c r="L171" s="35"/>
      <c r="M171" s="33"/>
      <c r="N171" s="33"/>
      <c r="O171" s="33"/>
      <c r="P171" s="33"/>
      <c r="Q171" s="35"/>
      <c r="R171" s="33"/>
      <c r="S171" s="33"/>
      <c r="T171" s="33"/>
      <c r="U171" s="33"/>
      <c r="V171" s="33"/>
      <c r="W171" s="31" t="str">
        <f aca="false">IF(OR($T171="",$U171="",$V171=""),"",$T171*$U171*$V171)</f>
        <v/>
      </c>
      <c r="X171" s="36" t="str">
        <f aca="false">IF($W171="","",IF($T171=5,"High",IF($W171&gt;=Settings!$C$20,"High",IF(OR($W171&gt;=Settings!$C$21,$T171=4),"Medium","Low"))))</f>
        <v/>
      </c>
      <c r="Y171" s="34"/>
      <c r="Z171" s="37" t="str">
        <f aca="false">IF($O171="","",$O171*Settings!$C$5)</f>
        <v/>
      </c>
      <c r="AA171" s="37" t="n">
        <f aca="false">IF(OR($H171&lt;&gt;"Complaint",$P171&lt;&gt;"Upheld",$T171=""),0,IF($G171="",Settings!$C$6,$G171)*INDEX(Settings!$C$8:$C$12,6-$T171))</f>
        <v>0</v>
      </c>
      <c r="AB171" s="37" t="str">
        <f aca="false">IF($B171="","",IF($Y171="",0,$Y171)+IF($Z171="",0,$Z171)+IF($AA171="",0,$AA171))</f>
        <v/>
      </c>
      <c r="AC171" s="35"/>
      <c r="AD171" s="33"/>
      <c r="AE171" s="36" t="str">
        <f aca="false">IF($B171="","",IF(OR($H171="Nonconformity (process)",$S171="Yes",AND(ISNUMBER($W171),$W171&gt;=Settings!$C$20)),"YES – required","No"))</f>
        <v/>
      </c>
      <c r="AF171" s="33"/>
      <c r="AG171" s="33"/>
      <c r="AH171" s="32"/>
      <c r="AI171" s="33"/>
      <c r="AJ171" s="32"/>
      <c r="AK171" s="31" t="str">
        <f aca="false">IF(OR($B171="",$AJ171=""),"",$AJ171-$B171)</f>
        <v/>
      </c>
      <c r="AL171" s="31" t="str">
        <f aca="false">IF($X171="","",INDEX(Settings!$C$15:$C$17,MATCH($X171,Settings!$B$15:$B$17,0)))</f>
        <v/>
      </c>
      <c r="AM171" s="36" t="str">
        <f aca="true">IF($B171="","",IF($AH171="","No due date",IF($AI171="Closed",IF($AJ171="","Missing close date",IF($AJ171&lt;=$AH171,"On time","Late")),IF(TODAY()&gt;$AH171,"OVERDUE","In progress"))))</f>
        <v/>
      </c>
      <c r="AN171" s="35"/>
    </row>
    <row r="172" customFormat="false" ht="27.75" hidden="false" customHeight="true" outlineLevel="0" collapsed="false">
      <c r="A172" s="31" t="str">
        <f aca="false">IF($B172="","",ROW()-4)</f>
        <v/>
      </c>
      <c r="B172" s="32"/>
      <c r="C172" s="32"/>
      <c r="D172" s="33"/>
      <c r="E172" s="33"/>
      <c r="F172" s="33"/>
      <c r="G172" s="34"/>
      <c r="H172" s="33"/>
      <c r="I172" s="33"/>
      <c r="J172" s="33"/>
      <c r="K172" s="33"/>
      <c r="L172" s="35"/>
      <c r="M172" s="33"/>
      <c r="N172" s="33"/>
      <c r="O172" s="33"/>
      <c r="P172" s="33"/>
      <c r="Q172" s="35"/>
      <c r="R172" s="33"/>
      <c r="S172" s="33"/>
      <c r="T172" s="33"/>
      <c r="U172" s="33"/>
      <c r="V172" s="33"/>
      <c r="W172" s="31" t="str">
        <f aca="false">IF(OR($T172="",$U172="",$V172=""),"",$T172*$U172*$V172)</f>
        <v/>
      </c>
      <c r="X172" s="36" t="str">
        <f aca="false">IF($W172="","",IF($T172=5,"High",IF($W172&gt;=Settings!$C$20,"High",IF(OR($W172&gt;=Settings!$C$21,$T172=4),"Medium","Low"))))</f>
        <v/>
      </c>
      <c r="Y172" s="34"/>
      <c r="Z172" s="37" t="str">
        <f aca="false">IF($O172="","",$O172*Settings!$C$5)</f>
        <v/>
      </c>
      <c r="AA172" s="37" t="n">
        <f aca="false">IF(OR($H172&lt;&gt;"Complaint",$P172&lt;&gt;"Upheld",$T172=""),0,IF($G172="",Settings!$C$6,$G172)*INDEX(Settings!$C$8:$C$12,6-$T172))</f>
        <v>0</v>
      </c>
      <c r="AB172" s="37" t="str">
        <f aca="false">IF($B172="","",IF($Y172="",0,$Y172)+IF($Z172="",0,$Z172)+IF($AA172="",0,$AA172))</f>
        <v/>
      </c>
      <c r="AC172" s="35"/>
      <c r="AD172" s="33"/>
      <c r="AE172" s="36" t="str">
        <f aca="false">IF($B172="","",IF(OR($H172="Nonconformity (process)",$S172="Yes",AND(ISNUMBER($W172),$W172&gt;=Settings!$C$20)),"YES – required","No"))</f>
        <v/>
      </c>
      <c r="AF172" s="33"/>
      <c r="AG172" s="33"/>
      <c r="AH172" s="32"/>
      <c r="AI172" s="33"/>
      <c r="AJ172" s="32"/>
      <c r="AK172" s="31" t="str">
        <f aca="false">IF(OR($B172="",$AJ172=""),"",$AJ172-$B172)</f>
        <v/>
      </c>
      <c r="AL172" s="31" t="str">
        <f aca="false">IF($X172="","",INDEX(Settings!$C$15:$C$17,MATCH($X172,Settings!$B$15:$B$17,0)))</f>
        <v/>
      </c>
      <c r="AM172" s="36" t="str">
        <f aca="true">IF($B172="","",IF($AH172="","No due date",IF($AI172="Closed",IF($AJ172="","Missing close date",IF($AJ172&lt;=$AH172,"On time","Late")),IF(TODAY()&gt;$AH172,"OVERDUE","In progress"))))</f>
        <v/>
      </c>
      <c r="AN172" s="35"/>
    </row>
    <row r="173" customFormat="false" ht="27.75" hidden="false" customHeight="true" outlineLevel="0" collapsed="false">
      <c r="A173" s="31" t="str">
        <f aca="false">IF($B173="","",ROW()-4)</f>
        <v/>
      </c>
      <c r="B173" s="32"/>
      <c r="C173" s="32"/>
      <c r="D173" s="33"/>
      <c r="E173" s="33"/>
      <c r="F173" s="33"/>
      <c r="G173" s="34"/>
      <c r="H173" s="33"/>
      <c r="I173" s="33"/>
      <c r="J173" s="33"/>
      <c r="K173" s="33"/>
      <c r="L173" s="35"/>
      <c r="M173" s="33"/>
      <c r="N173" s="33"/>
      <c r="O173" s="33"/>
      <c r="P173" s="33"/>
      <c r="Q173" s="35"/>
      <c r="R173" s="33"/>
      <c r="S173" s="33"/>
      <c r="T173" s="33"/>
      <c r="U173" s="33"/>
      <c r="V173" s="33"/>
      <c r="W173" s="31" t="str">
        <f aca="false">IF(OR($T173="",$U173="",$V173=""),"",$T173*$U173*$V173)</f>
        <v/>
      </c>
      <c r="X173" s="36" t="str">
        <f aca="false">IF($W173="","",IF($T173=5,"High",IF($W173&gt;=Settings!$C$20,"High",IF(OR($W173&gt;=Settings!$C$21,$T173=4),"Medium","Low"))))</f>
        <v/>
      </c>
      <c r="Y173" s="34"/>
      <c r="Z173" s="37" t="str">
        <f aca="false">IF($O173="","",$O173*Settings!$C$5)</f>
        <v/>
      </c>
      <c r="AA173" s="37" t="n">
        <f aca="false">IF(OR($H173&lt;&gt;"Complaint",$P173&lt;&gt;"Upheld",$T173=""),0,IF($G173="",Settings!$C$6,$G173)*INDEX(Settings!$C$8:$C$12,6-$T173))</f>
        <v>0</v>
      </c>
      <c r="AB173" s="37" t="str">
        <f aca="false">IF($B173="","",IF($Y173="",0,$Y173)+IF($Z173="",0,$Z173)+IF($AA173="",0,$AA173))</f>
        <v/>
      </c>
      <c r="AC173" s="35"/>
      <c r="AD173" s="33"/>
      <c r="AE173" s="36" t="str">
        <f aca="false">IF($B173="","",IF(OR($H173="Nonconformity (process)",$S173="Yes",AND(ISNUMBER($W173),$W173&gt;=Settings!$C$20)),"YES – required","No"))</f>
        <v/>
      </c>
      <c r="AF173" s="33"/>
      <c r="AG173" s="33"/>
      <c r="AH173" s="32"/>
      <c r="AI173" s="33"/>
      <c r="AJ173" s="32"/>
      <c r="AK173" s="31" t="str">
        <f aca="false">IF(OR($B173="",$AJ173=""),"",$AJ173-$B173)</f>
        <v/>
      </c>
      <c r="AL173" s="31" t="str">
        <f aca="false">IF($X173="","",INDEX(Settings!$C$15:$C$17,MATCH($X173,Settings!$B$15:$B$17,0)))</f>
        <v/>
      </c>
      <c r="AM173" s="36" t="str">
        <f aca="true">IF($B173="","",IF($AH173="","No due date",IF($AI173="Closed",IF($AJ173="","Missing close date",IF($AJ173&lt;=$AH173,"On time","Late")),IF(TODAY()&gt;$AH173,"OVERDUE","In progress"))))</f>
        <v/>
      </c>
      <c r="AN173" s="35"/>
    </row>
    <row r="174" customFormat="false" ht="27.75" hidden="false" customHeight="true" outlineLevel="0" collapsed="false">
      <c r="A174" s="31" t="str">
        <f aca="false">IF($B174="","",ROW()-4)</f>
        <v/>
      </c>
      <c r="B174" s="32"/>
      <c r="C174" s="32"/>
      <c r="D174" s="33"/>
      <c r="E174" s="33"/>
      <c r="F174" s="33"/>
      <c r="G174" s="34"/>
      <c r="H174" s="33"/>
      <c r="I174" s="33"/>
      <c r="J174" s="33"/>
      <c r="K174" s="33"/>
      <c r="L174" s="35"/>
      <c r="M174" s="33"/>
      <c r="N174" s="33"/>
      <c r="O174" s="33"/>
      <c r="P174" s="33"/>
      <c r="Q174" s="35"/>
      <c r="R174" s="33"/>
      <c r="S174" s="33"/>
      <c r="T174" s="33"/>
      <c r="U174" s="33"/>
      <c r="V174" s="33"/>
      <c r="W174" s="31" t="str">
        <f aca="false">IF(OR($T174="",$U174="",$V174=""),"",$T174*$U174*$V174)</f>
        <v/>
      </c>
      <c r="X174" s="36" t="str">
        <f aca="false">IF($W174="","",IF($T174=5,"High",IF($W174&gt;=Settings!$C$20,"High",IF(OR($W174&gt;=Settings!$C$21,$T174=4),"Medium","Low"))))</f>
        <v/>
      </c>
      <c r="Y174" s="34"/>
      <c r="Z174" s="37" t="str">
        <f aca="false">IF($O174="","",$O174*Settings!$C$5)</f>
        <v/>
      </c>
      <c r="AA174" s="37" t="n">
        <f aca="false">IF(OR($H174&lt;&gt;"Complaint",$P174&lt;&gt;"Upheld",$T174=""),0,IF($G174="",Settings!$C$6,$G174)*INDEX(Settings!$C$8:$C$12,6-$T174))</f>
        <v>0</v>
      </c>
      <c r="AB174" s="37" t="str">
        <f aca="false">IF($B174="","",IF($Y174="",0,$Y174)+IF($Z174="",0,$Z174)+IF($AA174="",0,$AA174))</f>
        <v/>
      </c>
      <c r="AC174" s="35"/>
      <c r="AD174" s="33"/>
      <c r="AE174" s="36" t="str">
        <f aca="false">IF($B174="","",IF(OR($H174="Nonconformity (process)",$S174="Yes",AND(ISNUMBER($W174),$W174&gt;=Settings!$C$20)),"YES – required","No"))</f>
        <v/>
      </c>
      <c r="AF174" s="33"/>
      <c r="AG174" s="33"/>
      <c r="AH174" s="32"/>
      <c r="AI174" s="33"/>
      <c r="AJ174" s="32"/>
      <c r="AK174" s="31" t="str">
        <f aca="false">IF(OR($B174="",$AJ174=""),"",$AJ174-$B174)</f>
        <v/>
      </c>
      <c r="AL174" s="31" t="str">
        <f aca="false">IF($X174="","",INDEX(Settings!$C$15:$C$17,MATCH($X174,Settings!$B$15:$B$17,0)))</f>
        <v/>
      </c>
      <c r="AM174" s="36" t="str">
        <f aca="true">IF($B174="","",IF($AH174="","No due date",IF($AI174="Closed",IF($AJ174="","Missing close date",IF($AJ174&lt;=$AH174,"On time","Late")),IF(TODAY()&gt;$AH174,"OVERDUE","In progress"))))</f>
        <v/>
      </c>
      <c r="AN174" s="35"/>
    </row>
    <row r="175" customFormat="false" ht="27.75" hidden="false" customHeight="true" outlineLevel="0" collapsed="false">
      <c r="A175" s="31" t="str">
        <f aca="false">IF($B175="","",ROW()-4)</f>
        <v/>
      </c>
      <c r="B175" s="32"/>
      <c r="C175" s="32"/>
      <c r="D175" s="33"/>
      <c r="E175" s="33"/>
      <c r="F175" s="33"/>
      <c r="G175" s="34"/>
      <c r="H175" s="33"/>
      <c r="I175" s="33"/>
      <c r="J175" s="33"/>
      <c r="K175" s="33"/>
      <c r="L175" s="35"/>
      <c r="M175" s="33"/>
      <c r="N175" s="33"/>
      <c r="O175" s="33"/>
      <c r="P175" s="33"/>
      <c r="Q175" s="35"/>
      <c r="R175" s="33"/>
      <c r="S175" s="33"/>
      <c r="T175" s="33"/>
      <c r="U175" s="33"/>
      <c r="V175" s="33"/>
      <c r="W175" s="31" t="str">
        <f aca="false">IF(OR($T175="",$U175="",$V175=""),"",$T175*$U175*$V175)</f>
        <v/>
      </c>
      <c r="X175" s="36" t="str">
        <f aca="false">IF($W175="","",IF($T175=5,"High",IF($W175&gt;=Settings!$C$20,"High",IF(OR($W175&gt;=Settings!$C$21,$T175=4),"Medium","Low"))))</f>
        <v/>
      </c>
      <c r="Y175" s="34"/>
      <c r="Z175" s="37" t="str">
        <f aca="false">IF($O175="","",$O175*Settings!$C$5)</f>
        <v/>
      </c>
      <c r="AA175" s="37" t="n">
        <f aca="false">IF(OR($H175&lt;&gt;"Complaint",$P175&lt;&gt;"Upheld",$T175=""),0,IF($G175="",Settings!$C$6,$G175)*INDEX(Settings!$C$8:$C$12,6-$T175))</f>
        <v>0</v>
      </c>
      <c r="AB175" s="37" t="str">
        <f aca="false">IF($B175="","",IF($Y175="",0,$Y175)+IF($Z175="",0,$Z175)+IF($AA175="",0,$AA175))</f>
        <v/>
      </c>
      <c r="AC175" s="35"/>
      <c r="AD175" s="33"/>
      <c r="AE175" s="36" t="str">
        <f aca="false">IF($B175="","",IF(OR($H175="Nonconformity (process)",$S175="Yes",AND(ISNUMBER($W175),$W175&gt;=Settings!$C$20)),"YES – required","No"))</f>
        <v/>
      </c>
      <c r="AF175" s="33"/>
      <c r="AG175" s="33"/>
      <c r="AH175" s="32"/>
      <c r="AI175" s="33"/>
      <c r="AJ175" s="32"/>
      <c r="AK175" s="31" t="str">
        <f aca="false">IF(OR($B175="",$AJ175=""),"",$AJ175-$B175)</f>
        <v/>
      </c>
      <c r="AL175" s="31" t="str">
        <f aca="false">IF($X175="","",INDEX(Settings!$C$15:$C$17,MATCH($X175,Settings!$B$15:$B$17,0)))</f>
        <v/>
      </c>
      <c r="AM175" s="36" t="str">
        <f aca="true">IF($B175="","",IF($AH175="","No due date",IF($AI175="Closed",IF($AJ175="","Missing close date",IF($AJ175&lt;=$AH175,"On time","Late")),IF(TODAY()&gt;$AH175,"OVERDUE","In progress"))))</f>
        <v/>
      </c>
      <c r="AN175" s="35"/>
    </row>
    <row r="176" customFormat="false" ht="27.75" hidden="false" customHeight="true" outlineLevel="0" collapsed="false">
      <c r="A176" s="31" t="str">
        <f aca="false">IF($B176="","",ROW()-4)</f>
        <v/>
      </c>
      <c r="B176" s="32"/>
      <c r="C176" s="32"/>
      <c r="D176" s="33"/>
      <c r="E176" s="33"/>
      <c r="F176" s="33"/>
      <c r="G176" s="34"/>
      <c r="H176" s="33"/>
      <c r="I176" s="33"/>
      <c r="J176" s="33"/>
      <c r="K176" s="33"/>
      <c r="L176" s="35"/>
      <c r="M176" s="33"/>
      <c r="N176" s="33"/>
      <c r="O176" s="33"/>
      <c r="P176" s="33"/>
      <c r="Q176" s="35"/>
      <c r="R176" s="33"/>
      <c r="S176" s="33"/>
      <c r="T176" s="33"/>
      <c r="U176" s="33"/>
      <c r="V176" s="33"/>
      <c r="W176" s="31" t="str">
        <f aca="false">IF(OR($T176="",$U176="",$V176=""),"",$T176*$U176*$V176)</f>
        <v/>
      </c>
      <c r="X176" s="36" t="str">
        <f aca="false">IF($W176="","",IF($T176=5,"High",IF($W176&gt;=Settings!$C$20,"High",IF(OR($W176&gt;=Settings!$C$21,$T176=4),"Medium","Low"))))</f>
        <v/>
      </c>
      <c r="Y176" s="34"/>
      <c r="Z176" s="37" t="str">
        <f aca="false">IF($O176="","",$O176*Settings!$C$5)</f>
        <v/>
      </c>
      <c r="AA176" s="37" t="n">
        <f aca="false">IF(OR($H176&lt;&gt;"Complaint",$P176&lt;&gt;"Upheld",$T176=""),0,IF($G176="",Settings!$C$6,$G176)*INDEX(Settings!$C$8:$C$12,6-$T176))</f>
        <v>0</v>
      </c>
      <c r="AB176" s="37" t="str">
        <f aca="false">IF($B176="","",IF($Y176="",0,$Y176)+IF($Z176="",0,$Z176)+IF($AA176="",0,$AA176))</f>
        <v/>
      </c>
      <c r="AC176" s="35"/>
      <c r="AD176" s="33"/>
      <c r="AE176" s="36" t="str">
        <f aca="false">IF($B176="","",IF(OR($H176="Nonconformity (process)",$S176="Yes",AND(ISNUMBER($W176),$W176&gt;=Settings!$C$20)),"YES – required","No"))</f>
        <v/>
      </c>
      <c r="AF176" s="33"/>
      <c r="AG176" s="33"/>
      <c r="AH176" s="32"/>
      <c r="AI176" s="33"/>
      <c r="AJ176" s="32"/>
      <c r="AK176" s="31" t="str">
        <f aca="false">IF(OR($B176="",$AJ176=""),"",$AJ176-$B176)</f>
        <v/>
      </c>
      <c r="AL176" s="31" t="str">
        <f aca="false">IF($X176="","",INDEX(Settings!$C$15:$C$17,MATCH($X176,Settings!$B$15:$B$17,0)))</f>
        <v/>
      </c>
      <c r="AM176" s="36" t="str">
        <f aca="true">IF($B176="","",IF($AH176="","No due date",IF($AI176="Closed",IF($AJ176="","Missing close date",IF($AJ176&lt;=$AH176,"On time","Late")),IF(TODAY()&gt;$AH176,"OVERDUE","In progress"))))</f>
        <v/>
      </c>
      <c r="AN176" s="35"/>
    </row>
    <row r="177" customFormat="false" ht="27.75" hidden="false" customHeight="true" outlineLevel="0" collapsed="false">
      <c r="A177" s="31" t="str">
        <f aca="false">IF($B177="","",ROW()-4)</f>
        <v/>
      </c>
      <c r="B177" s="32"/>
      <c r="C177" s="32"/>
      <c r="D177" s="33"/>
      <c r="E177" s="33"/>
      <c r="F177" s="33"/>
      <c r="G177" s="34"/>
      <c r="H177" s="33"/>
      <c r="I177" s="33"/>
      <c r="J177" s="33"/>
      <c r="K177" s="33"/>
      <c r="L177" s="35"/>
      <c r="M177" s="33"/>
      <c r="N177" s="33"/>
      <c r="O177" s="33"/>
      <c r="P177" s="33"/>
      <c r="Q177" s="35"/>
      <c r="R177" s="33"/>
      <c r="S177" s="33"/>
      <c r="T177" s="33"/>
      <c r="U177" s="33"/>
      <c r="V177" s="33"/>
      <c r="W177" s="31" t="str">
        <f aca="false">IF(OR($T177="",$U177="",$V177=""),"",$T177*$U177*$V177)</f>
        <v/>
      </c>
      <c r="X177" s="36" t="str">
        <f aca="false">IF($W177="","",IF($T177=5,"High",IF($W177&gt;=Settings!$C$20,"High",IF(OR($W177&gt;=Settings!$C$21,$T177=4),"Medium","Low"))))</f>
        <v/>
      </c>
      <c r="Y177" s="34"/>
      <c r="Z177" s="37" t="str">
        <f aca="false">IF($O177="","",$O177*Settings!$C$5)</f>
        <v/>
      </c>
      <c r="AA177" s="37" t="n">
        <f aca="false">IF(OR($H177&lt;&gt;"Complaint",$P177&lt;&gt;"Upheld",$T177=""),0,IF($G177="",Settings!$C$6,$G177)*INDEX(Settings!$C$8:$C$12,6-$T177))</f>
        <v>0</v>
      </c>
      <c r="AB177" s="37" t="str">
        <f aca="false">IF($B177="","",IF($Y177="",0,$Y177)+IF($Z177="",0,$Z177)+IF($AA177="",0,$AA177))</f>
        <v/>
      </c>
      <c r="AC177" s="35"/>
      <c r="AD177" s="33"/>
      <c r="AE177" s="36" t="str">
        <f aca="false">IF($B177="","",IF(OR($H177="Nonconformity (process)",$S177="Yes",AND(ISNUMBER($W177),$W177&gt;=Settings!$C$20)),"YES – required","No"))</f>
        <v/>
      </c>
      <c r="AF177" s="33"/>
      <c r="AG177" s="33"/>
      <c r="AH177" s="32"/>
      <c r="AI177" s="33"/>
      <c r="AJ177" s="32"/>
      <c r="AK177" s="31" t="str">
        <f aca="false">IF(OR($B177="",$AJ177=""),"",$AJ177-$B177)</f>
        <v/>
      </c>
      <c r="AL177" s="31" t="str">
        <f aca="false">IF($X177="","",INDEX(Settings!$C$15:$C$17,MATCH($X177,Settings!$B$15:$B$17,0)))</f>
        <v/>
      </c>
      <c r="AM177" s="36" t="str">
        <f aca="true">IF($B177="","",IF($AH177="","No due date",IF($AI177="Closed",IF($AJ177="","Missing close date",IF($AJ177&lt;=$AH177,"On time","Late")),IF(TODAY()&gt;$AH177,"OVERDUE","In progress"))))</f>
        <v/>
      </c>
      <c r="AN177" s="35"/>
    </row>
    <row r="178" customFormat="false" ht="27.75" hidden="false" customHeight="true" outlineLevel="0" collapsed="false">
      <c r="A178" s="31" t="str">
        <f aca="false">IF($B178="","",ROW()-4)</f>
        <v/>
      </c>
      <c r="B178" s="32"/>
      <c r="C178" s="32"/>
      <c r="D178" s="33"/>
      <c r="E178" s="33"/>
      <c r="F178" s="33"/>
      <c r="G178" s="34"/>
      <c r="H178" s="33"/>
      <c r="I178" s="33"/>
      <c r="J178" s="33"/>
      <c r="K178" s="33"/>
      <c r="L178" s="35"/>
      <c r="M178" s="33"/>
      <c r="N178" s="33"/>
      <c r="O178" s="33"/>
      <c r="P178" s="33"/>
      <c r="Q178" s="35"/>
      <c r="R178" s="33"/>
      <c r="S178" s="33"/>
      <c r="T178" s="33"/>
      <c r="U178" s="33"/>
      <c r="V178" s="33"/>
      <c r="W178" s="31" t="str">
        <f aca="false">IF(OR($T178="",$U178="",$V178=""),"",$T178*$U178*$V178)</f>
        <v/>
      </c>
      <c r="X178" s="36" t="str">
        <f aca="false">IF($W178="","",IF($T178=5,"High",IF($W178&gt;=Settings!$C$20,"High",IF(OR($W178&gt;=Settings!$C$21,$T178=4),"Medium","Low"))))</f>
        <v/>
      </c>
      <c r="Y178" s="34"/>
      <c r="Z178" s="37" t="str">
        <f aca="false">IF($O178="","",$O178*Settings!$C$5)</f>
        <v/>
      </c>
      <c r="AA178" s="37" t="n">
        <f aca="false">IF(OR($H178&lt;&gt;"Complaint",$P178&lt;&gt;"Upheld",$T178=""),0,IF($G178="",Settings!$C$6,$G178)*INDEX(Settings!$C$8:$C$12,6-$T178))</f>
        <v>0</v>
      </c>
      <c r="AB178" s="37" t="str">
        <f aca="false">IF($B178="","",IF($Y178="",0,$Y178)+IF($Z178="",0,$Z178)+IF($AA178="",0,$AA178))</f>
        <v/>
      </c>
      <c r="AC178" s="35"/>
      <c r="AD178" s="33"/>
      <c r="AE178" s="36" t="str">
        <f aca="false">IF($B178="","",IF(OR($H178="Nonconformity (process)",$S178="Yes",AND(ISNUMBER($W178),$W178&gt;=Settings!$C$20)),"YES – required","No"))</f>
        <v/>
      </c>
      <c r="AF178" s="33"/>
      <c r="AG178" s="33"/>
      <c r="AH178" s="32"/>
      <c r="AI178" s="33"/>
      <c r="AJ178" s="32"/>
      <c r="AK178" s="31" t="str">
        <f aca="false">IF(OR($B178="",$AJ178=""),"",$AJ178-$B178)</f>
        <v/>
      </c>
      <c r="AL178" s="31" t="str">
        <f aca="false">IF($X178="","",INDEX(Settings!$C$15:$C$17,MATCH($X178,Settings!$B$15:$B$17,0)))</f>
        <v/>
      </c>
      <c r="AM178" s="36" t="str">
        <f aca="true">IF($B178="","",IF($AH178="","No due date",IF($AI178="Closed",IF($AJ178="","Missing close date",IF($AJ178&lt;=$AH178,"On time","Late")),IF(TODAY()&gt;$AH178,"OVERDUE","In progress"))))</f>
        <v/>
      </c>
      <c r="AN178" s="35"/>
    </row>
    <row r="179" customFormat="false" ht="27.75" hidden="false" customHeight="true" outlineLevel="0" collapsed="false">
      <c r="A179" s="31" t="str">
        <f aca="false">IF($B179="","",ROW()-4)</f>
        <v/>
      </c>
      <c r="B179" s="32"/>
      <c r="C179" s="32"/>
      <c r="D179" s="33"/>
      <c r="E179" s="33"/>
      <c r="F179" s="33"/>
      <c r="G179" s="34"/>
      <c r="H179" s="33"/>
      <c r="I179" s="33"/>
      <c r="J179" s="33"/>
      <c r="K179" s="33"/>
      <c r="L179" s="35"/>
      <c r="M179" s="33"/>
      <c r="N179" s="33"/>
      <c r="O179" s="33"/>
      <c r="P179" s="33"/>
      <c r="Q179" s="35"/>
      <c r="R179" s="33"/>
      <c r="S179" s="33"/>
      <c r="T179" s="33"/>
      <c r="U179" s="33"/>
      <c r="V179" s="33"/>
      <c r="W179" s="31" t="str">
        <f aca="false">IF(OR($T179="",$U179="",$V179=""),"",$T179*$U179*$V179)</f>
        <v/>
      </c>
      <c r="X179" s="36" t="str">
        <f aca="false">IF($W179="","",IF($T179=5,"High",IF($W179&gt;=Settings!$C$20,"High",IF(OR($W179&gt;=Settings!$C$21,$T179=4),"Medium","Low"))))</f>
        <v/>
      </c>
      <c r="Y179" s="34"/>
      <c r="Z179" s="37" t="str">
        <f aca="false">IF($O179="","",$O179*Settings!$C$5)</f>
        <v/>
      </c>
      <c r="AA179" s="37" t="n">
        <f aca="false">IF(OR($H179&lt;&gt;"Complaint",$P179&lt;&gt;"Upheld",$T179=""),0,IF($G179="",Settings!$C$6,$G179)*INDEX(Settings!$C$8:$C$12,6-$T179))</f>
        <v>0</v>
      </c>
      <c r="AB179" s="37" t="str">
        <f aca="false">IF($B179="","",IF($Y179="",0,$Y179)+IF($Z179="",0,$Z179)+IF($AA179="",0,$AA179))</f>
        <v/>
      </c>
      <c r="AC179" s="35"/>
      <c r="AD179" s="33"/>
      <c r="AE179" s="36" t="str">
        <f aca="false">IF($B179="","",IF(OR($H179="Nonconformity (process)",$S179="Yes",AND(ISNUMBER($W179),$W179&gt;=Settings!$C$20)),"YES – required","No"))</f>
        <v/>
      </c>
      <c r="AF179" s="33"/>
      <c r="AG179" s="33"/>
      <c r="AH179" s="32"/>
      <c r="AI179" s="33"/>
      <c r="AJ179" s="32"/>
      <c r="AK179" s="31" t="str">
        <f aca="false">IF(OR($B179="",$AJ179=""),"",$AJ179-$B179)</f>
        <v/>
      </c>
      <c r="AL179" s="31" t="str">
        <f aca="false">IF($X179="","",INDEX(Settings!$C$15:$C$17,MATCH($X179,Settings!$B$15:$B$17,0)))</f>
        <v/>
      </c>
      <c r="AM179" s="36" t="str">
        <f aca="true">IF($B179="","",IF($AH179="","No due date",IF($AI179="Closed",IF($AJ179="","Missing close date",IF($AJ179&lt;=$AH179,"On time","Late")),IF(TODAY()&gt;$AH179,"OVERDUE","In progress"))))</f>
        <v/>
      </c>
      <c r="AN179" s="35"/>
    </row>
    <row r="180" customFormat="false" ht="27.75" hidden="false" customHeight="true" outlineLevel="0" collapsed="false">
      <c r="A180" s="31" t="str">
        <f aca="false">IF($B180="","",ROW()-4)</f>
        <v/>
      </c>
      <c r="B180" s="32"/>
      <c r="C180" s="32"/>
      <c r="D180" s="33"/>
      <c r="E180" s="33"/>
      <c r="F180" s="33"/>
      <c r="G180" s="34"/>
      <c r="H180" s="33"/>
      <c r="I180" s="33"/>
      <c r="J180" s="33"/>
      <c r="K180" s="33"/>
      <c r="L180" s="35"/>
      <c r="M180" s="33"/>
      <c r="N180" s="33"/>
      <c r="O180" s="33"/>
      <c r="P180" s="33"/>
      <c r="Q180" s="35"/>
      <c r="R180" s="33"/>
      <c r="S180" s="33"/>
      <c r="T180" s="33"/>
      <c r="U180" s="33"/>
      <c r="V180" s="33"/>
      <c r="W180" s="31" t="str">
        <f aca="false">IF(OR($T180="",$U180="",$V180=""),"",$T180*$U180*$V180)</f>
        <v/>
      </c>
      <c r="X180" s="36" t="str">
        <f aca="false">IF($W180="","",IF($T180=5,"High",IF($W180&gt;=Settings!$C$20,"High",IF(OR($W180&gt;=Settings!$C$21,$T180=4),"Medium","Low"))))</f>
        <v/>
      </c>
      <c r="Y180" s="34"/>
      <c r="Z180" s="37" t="str">
        <f aca="false">IF($O180="","",$O180*Settings!$C$5)</f>
        <v/>
      </c>
      <c r="AA180" s="37" t="n">
        <f aca="false">IF(OR($H180&lt;&gt;"Complaint",$P180&lt;&gt;"Upheld",$T180=""),0,IF($G180="",Settings!$C$6,$G180)*INDEX(Settings!$C$8:$C$12,6-$T180))</f>
        <v>0</v>
      </c>
      <c r="AB180" s="37" t="str">
        <f aca="false">IF($B180="","",IF($Y180="",0,$Y180)+IF($Z180="",0,$Z180)+IF($AA180="",0,$AA180))</f>
        <v/>
      </c>
      <c r="AC180" s="35"/>
      <c r="AD180" s="33"/>
      <c r="AE180" s="36" t="str">
        <f aca="false">IF($B180="","",IF(OR($H180="Nonconformity (process)",$S180="Yes",AND(ISNUMBER($W180),$W180&gt;=Settings!$C$20)),"YES – required","No"))</f>
        <v/>
      </c>
      <c r="AF180" s="33"/>
      <c r="AG180" s="33"/>
      <c r="AH180" s="32"/>
      <c r="AI180" s="33"/>
      <c r="AJ180" s="32"/>
      <c r="AK180" s="31" t="str">
        <f aca="false">IF(OR($B180="",$AJ180=""),"",$AJ180-$B180)</f>
        <v/>
      </c>
      <c r="AL180" s="31" t="str">
        <f aca="false">IF($X180="","",INDEX(Settings!$C$15:$C$17,MATCH($X180,Settings!$B$15:$B$17,0)))</f>
        <v/>
      </c>
      <c r="AM180" s="36" t="str">
        <f aca="true">IF($B180="","",IF($AH180="","No due date",IF($AI180="Closed",IF($AJ180="","Missing close date",IF($AJ180&lt;=$AH180,"On time","Late")),IF(TODAY()&gt;$AH180,"OVERDUE","In progress"))))</f>
        <v/>
      </c>
      <c r="AN180" s="35"/>
    </row>
    <row r="181" customFormat="false" ht="27.75" hidden="false" customHeight="true" outlineLevel="0" collapsed="false">
      <c r="A181" s="31" t="str">
        <f aca="false">IF($B181="","",ROW()-4)</f>
        <v/>
      </c>
      <c r="B181" s="32"/>
      <c r="C181" s="32"/>
      <c r="D181" s="33"/>
      <c r="E181" s="33"/>
      <c r="F181" s="33"/>
      <c r="G181" s="34"/>
      <c r="H181" s="33"/>
      <c r="I181" s="33"/>
      <c r="J181" s="33"/>
      <c r="K181" s="33"/>
      <c r="L181" s="35"/>
      <c r="M181" s="33"/>
      <c r="N181" s="33"/>
      <c r="O181" s="33"/>
      <c r="P181" s="33"/>
      <c r="Q181" s="35"/>
      <c r="R181" s="33"/>
      <c r="S181" s="33"/>
      <c r="T181" s="33"/>
      <c r="U181" s="33"/>
      <c r="V181" s="33"/>
      <c r="W181" s="31" t="str">
        <f aca="false">IF(OR($T181="",$U181="",$V181=""),"",$T181*$U181*$V181)</f>
        <v/>
      </c>
      <c r="X181" s="36" t="str">
        <f aca="false">IF($W181="","",IF($T181=5,"High",IF($W181&gt;=Settings!$C$20,"High",IF(OR($W181&gt;=Settings!$C$21,$T181=4),"Medium","Low"))))</f>
        <v/>
      </c>
      <c r="Y181" s="34"/>
      <c r="Z181" s="37" t="str">
        <f aca="false">IF($O181="","",$O181*Settings!$C$5)</f>
        <v/>
      </c>
      <c r="AA181" s="37" t="n">
        <f aca="false">IF(OR($H181&lt;&gt;"Complaint",$P181&lt;&gt;"Upheld",$T181=""),0,IF($G181="",Settings!$C$6,$G181)*INDEX(Settings!$C$8:$C$12,6-$T181))</f>
        <v>0</v>
      </c>
      <c r="AB181" s="37" t="str">
        <f aca="false">IF($B181="","",IF($Y181="",0,$Y181)+IF($Z181="",0,$Z181)+IF($AA181="",0,$AA181))</f>
        <v/>
      </c>
      <c r="AC181" s="35"/>
      <c r="AD181" s="33"/>
      <c r="AE181" s="36" t="str">
        <f aca="false">IF($B181="","",IF(OR($H181="Nonconformity (process)",$S181="Yes",AND(ISNUMBER($W181),$W181&gt;=Settings!$C$20)),"YES – required","No"))</f>
        <v/>
      </c>
      <c r="AF181" s="33"/>
      <c r="AG181" s="33"/>
      <c r="AH181" s="32"/>
      <c r="AI181" s="33"/>
      <c r="AJ181" s="32"/>
      <c r="AK181" s="31" t="str">
        <f aca="false">IF(OR($B181="",$AJ181=""),"",$AJ181-$B181)</f>
        <v/>
      </c>
      <c r="AL181" s="31" t="str">
        <f aca="false">IF($X181="","",INDEX(Settings!$C$15:$C$17,MATCH($X181,Settings!$B$15:$B$17,0)))</f>
        <v/>
      </c>
      <c r="AM181" s="36" t="str">
        <f aca="true">IF($B181="","",IF($AH181="","No due date",IF($AI181="Closed",IF($AJ181="","Missing close date",IF($AJ181&lt;=$AH181,"On time","Late")),IF(TODAY()&gt;$AH181,"OVERDUE","In progress"))))</f>
        <v/>
      </c>
      <c r="AN181" s="35"/>
    </row>
    <row r="182" customFormat="false" ht="27.75" hidden="false" customHeight="true" outlineLevel="0" collapsed="false">
      <c r="A182" s="31" t="str">
        <f aca="false">IF($B182="","",ROW()-4)</f>
        <v/>
      </c>
      <c r="B182" s="32"/>
      <c r="C182" s="32"/>
      <c r="D182" s="33"/>
      <c r="E182" s="33"/>
      <c r="F182" s="33"/>
      <c r="G182" s="34"/>
      <c r="H182" s="33"/>
      <c r="I182" s="33"/>
      <c r="J182" s="33"/>
      <c r="K182" s="33"/>
      <c r="L182" s="35"/>
      <c r="M182" s="33"/>
      <c r="N182" s="33"/>
      <c r="O182" s="33"/>
      <c r="P182" s="33"/>
      <c r="Q182" s="35"/>
      <c r="R182" s="33"/>
      <c r="S182" s="33"/>
      <c r="T182" s="33"/>
      <c r="U182" s="33"/>
      <c r="V182" s="33"/>
      <c r="W182" s="31" t="str">
        <f aca="false">IF(OR($T182="",$U182="",$V182=""),"",$T182*$U182*$V182)</f>
        <v/>
      </c>
      <c r="X182" s="36" t="str">
        <f aca="false">IF($W182="","",IF($T182=5,"High",IF($W182&gt;=Settings!$C$20,"High",IF(OR($W182&gt;=Settings!$C$21,$T182=4),"Medium","Low"))))</f>
        <v/>
      </c>
      <c r="Y182" s="34"/>
      <c r="Z182" s="37" t="str">
        <f aca="false">IF($O182="","",$O182*Settings!$C$5)</f>
        <v/>
      </c>
      <c r="AA182" s="37" t="n">
        <f aca="false">IF(OR($H182&lt;&gt;"Complaint",$P182&lt;&gt;"Upheld",$T182=""),0,IF($G182="",Settings!$C$6,$G182)*INDEX(Settings!$C$8:$C$12,6-$T182))</f>
        <v>0</v>
      </c>
      <c r="AB182" s="37" t="str">
        <f aca="false">IF($B182="","",IF($Y182="",0,$Y182)+IF($Z182="",0,$Z182)+IF($AA182="",0,$AA182))</f>
        <v/>
      </c>
      <c r="AC182" s="35"/>
      <c r="AD182" s="33"/>
      <c r="AE182" s="36" t="str">
        <f aca="false">IF($B182="","",IF(OR($H182="Nonconformity (process)",$S182="Yes",AND(ISNUMBER($W182),$W182&gt;=Settings!$C$20)),"YES – required","No"))</f>
        <v/>
      </c>
      <c r="AF182" s="33"/>
      <c r="AG182" s="33"/>
      <c r="AH182" s="32"/>
      <c r="AI182" s="33"/>
      <c r="AJ182" s="32"/>
      <c r="AK182" s="31" t="str">
        <f aca="false">IF(OR($B182="",$AJ182=""),"",$AJ182-$B182)</f>
        <v/>
      </c>
      <c r="AL182" s="31" t="str">
        <f aca="false">IF($X182="","",INDEX(Settings!$C$15:$C$17,MATCH($X182,Settings!$B$15:$B$17,0)))</f>
        <v/>
      </c>
      <c r="AM182" s="36" t="str">
        <f aca="true">IF($B182="","",IF($AH182="","No due date",IF($AI182="Closed",IF($AJ182="","Missing close date",IF($AJ182&lt;=$AH182,"On time","Late")),IF(TODAY()&gt;$AH182,"OVERDUE","In progress"))))</f>
        <v/>
      </c>
      <c r="AN182" s="35"/>
    </row>
    <row r="183" customFormat="false" ht="27.75" hidden="false" customHeight="true" outlineLevel="0" collapsed="false">
      <c r="A183" s="31" t="str">
        <f aca="false">IF($B183="","",ROW()-4)</f>
        <v/>
      </c>
      <c r="B183" s="32"/>
      <c r="C183" s="32"/>
      <c r="D183" s="33"/>
      <c r="E183" s="33"/>
      <c r="F183" s="33"/>
      <c r="G183" s="34"/>
      <c r="H183" s="33"/>
      <c r="I183" s="33"/>
      <c r="J183" s="33"/>
      <c r="K183" s="33"/>
      <c r="L183" s="35"/>
      <c r="M183" s="33"/>
      <c r="N183" s="33"/>
      <c r="O183" s="33"/>
      <c r="P183" s="33"/>
      <c r="Q183" s="35"/>
      <c r="R183" s="33"/>
      <c r="S183" s="33"/>
      <c r="T183" s="33"/>
      <c r="U183" s="33"/>
      <c r="V183" s="33"/>
      <c r="W183" s="31" t="str">
        <f aca="false">IF(OR($T183="",$U183="",$V183=""),"",$T183*$U183*$V183)</f>
        <v/>
      </c>
      <c r="X183" s="36" t="str">
        <f aca="false">IF($W183="","",IF($T183=5,"High",IF($W183&gt;=Settings!$C$20,"High",IF(OR($W183&gt;=Settings!$C$21,$T183=4),"Medium","Low"))))</f>
        <v/>
      </c>
      <c r="Y183" s="34"/>
      <c r="Z183" s="37" t="str">
        <f aca="false">IF($O183="","",$O183*Settings!$C$5)</f>
        <v/>
      </c>
      <c r="AA183" s="37" t="n">
        <f aca="false">IF(OR($H183&lt;&gt;"Complaint",$P183&lt;&gt;"Upheld",$T183=""),0,IF($G183="",Settings!$C$6,$G183)*INDEX(Settings!$C$8:$C$12,6-$T183))</f>
        <v>0</v>
      </c>
      <c r="AB183" s="37" t="str">
        <f aca="false">IF($B183="","",IF($Y183="",0,$Y183)+IF($Z183="",0,$Z183)+IF($AA183="",0,$AA183))</f>
        <v/>
      </c>
      <c r="AC183" s="35"/>
      <c r="AD183" s="33"/>
      <c r="AE183" s="36" t="str">
        <f aca="false">IF($B183="","",IF(OR($H183="Nonconformity (process)",$S183="Yes",AND(ISNUMBER($W183),$W183&gt;=Settings!$C$20)),"YES – required","No"))</f>
        <v/>
      </c>
      <c r="AF183" s="33"/>
      <c r="AG183" s="33"/>
      <c r="AH183" s="32"/>
      <c r="AI183" s="33"/>
      <c r="AJ183" s="32"/>
      <c r="AK183" s="31" t="str">
        <f aca="false">IF(OR($B183="",$AJ183=""),"",$AJ183-$B183)</f>
        <v/>
      </c>
      <c r="AL183" s="31" t="str">
        <f aca="false">IF($X183="","",INDEX(Settings!$C$15:$C$17,MATCH($X183,Settings!$B$15:$B$17,0)))</f>
        <v/>
      </c>
      <c r="AM183" s="36" t="str">
        <f aca="true">IF($B183="","",IF($AH183="","No due date",IF($AI183="Closed",IF($AJ183="","Missing close date",IF($AJ183&lt;=$AH183,"On time","Late")),IF(TODAY()&gt;$AH183,"OVERDUE","In progress"))))</f>
        <v/>
      </c>
      <c r="AN183" s="35"/>
    </row>
    <row r="184" customFormat="false" ht="27.75" hidden="false" customHeight="true" outlineLevel="0" collapsed="false">
      <c r="A184" s="31" t="str">
        <f aca="false">IF($B184="","",ROW()-4)</f>
        <v/>
      </c>
      <c r="B184" s="32"/>
      <c r="C184" s="32"/>
      <c r="D184" s="33"/>
      <c r="E184" s="33"/>
      <c r="F184" s="33"/>
      <c r="G184" s="34"/>
      <c r="H184" s="33"/>
      <c r="I184" s="33"/>
      <c r="J184" s="33"/>
      <c r="K184" s="33"/>
      <c r="L184" s="35"/>
      <c r="M184" s="33"/>
      <c r="N184" s="33"/>
      <c r="O184" s="33"/>
      <c r="P184" s="33"/>
      <c r="Q184" s="35"/>
      <c r="R184" s="33"/>
      <c r="S184" s="33"/>
      <c r="T184" s="33"/>
      <c r="U184" s="33"/>
      <c r="V184" s="33"/>
      <c r="W184" s="31" t="str">
        <f aca="false">IF(OR($T184="",$U184="",$V184=""),"",$T184*$U184*$V184)</f>
        <v/>
      </c>
      <c r="X184" s="36" t="str">
        <f aca="false">IF($W184="","",IF($T184=5,"High",IF($W184&gt;=Settings!$C$20,"High",IF(OR($W184&gt;=Settings!$C$21,$T184=4),"Medium","Low"))))</f>
        <v/>
      </c>
      <c r="Y184" s="34"/>
      <c r="Z184" s="37" t="str">
        <f aca="false">IF($O184="","",$O184*Settings!$C$5)</f>
        <v/>
      </c>
      <c r="AA184" s="37" t="n">
        <f aca="false">IF(OR($H184&lt;&gt;"Complaint",$P184&lt;&gt;"Upheld",$T184=""),0,IF($G184="",Settings!$C$6,$G184)*INDEX(Settings!$C$8:$C$12,6-$T184))</f>
        <v>0</v>
      </c>
      <c r="AB184" s="37" t="str">
        <f aca="false">IF($B184="","",IF($Y184="",0,$Y184)+IF($Z184="",0,$Z184)+IF($AA184="",0,$AA184))</f>
        <v/>
      </c>
      <c r="AC184" s="35"/>
      <c r="AD184" s="33"/>
      <c r="AE184" s="36" t="str">
        <f aca="false">IF($B184="","",IF(OR($H184="Nonconformity (process)",$S184="Yes",AND(ISNUMBER($W184),$W184&gt;=Settings!$C$20)),"YES – required","No"))</f>
        <v/>
      </c>
      <c r="AF184" s="33"/>
      <c r="AG184" s="33"/>
      <c r="AH184" s="32"/>
      <c r="AI184" s="33"/>
      <c r="AJ184" s="32"/>
      <c r="AK184" s="31" t="str">
        <f aca="false">IF(OR($B184="",$AJ184=""),"",$AJ184-$B184)</f>
        <v/>
      </c>
      <c r="AL184" s="31" t="str">
        <f aca="false">IF($X184="","",INDEX(Settings!$C$15:$C$17,MATCH($X184,Settings!$B$15:$B$17,0)))</f>
        <v/>
      </c>
      <c r="AM184" s="36" t="str">
        <f aca="true">IF($B184="","",IF($AH184="","No due date",IF($AI184="Closed",IF($AJ184="","Missing close date",IF($AJ184&lt;=$AH184,"On time","Late")),IF(TODAY()&gt;$AH184,"OVERDUE","In progress"))))</f>
        <v/>
      </c>
      <c r="AN184" s="35"/>
    </row>
    <row r="185" customFormat="false" ht="27.75" hidden="false" customHeight="true" outlineLevel="0" collapsed="false">
      <c r="A185" s="31" t="str">
        <f aca="false">IF($B185="","",ROW()-4)</f>
        <v/>
      </c>
      <c r="B185" s="32"/>
      <c r="C185" s="32"/>
      <c r="D185" s="33"/>
      <c r="E185" s="33"/>
      <c r="F185" s="33"/>
      <c r="G185" s="34"/>
      <c r="H185" s="33"/>
      <c r="I185" s="33"/>
      <c r="J185" s="33"/>
      <c r="K185" s="33"/>
      <c r="L185" s="35"/>
      <c r="M185" s="33"/>
      <c r="N185" s="33"/>
      <c r="O185" s="33"/>
      <c r="P185" s="33"/>
      <c r="Q185" s="35"/>
      <c r="R185" s="33"/>
      <c r="S185" s="33"/>
      <c r="T185" s="33"/>
      <c r="U185" s="33"/>
      <c r="V185" s="33"/>
      <c r="W185" s="31" t="str">
        <f aca="false">IF(OR($T185="",$U185="",$V185=""),"",$T185*$U185*$V185)</f>
        <v/>
      </c>
      <c r="X185" s="36" t="str">
        <f aca="false">IF($W185="","",IF($T185=5,"High",IF($W185&gt;=Settings!$C$20,"High",IF(OR($W185&gt;=Settings!$C$21,$T185=4),"Medium","Low"))))</f>
        <v/>
      </c>
      <c r="Y185" s="34"/>
      <c r="Z185" s="37" t="str">
        <f aca="false">IF($O185="","",$O185*Settings!$C$5)</f>
        <v/>
      </c>
      <c r="AA185" s="37" t="n">
        <f aca="false">IF(OR($H185&lt;&gt;"Complaint",$P185&lt;&gt;"Upheld",$T185=""),0,IF($G185="",Settings!$C$6,$G185)*INDEX(Settings!$C$8:$C$12,6-$T185))</f>
        <v>0</v>
      </c>
      <c r="AB185" s="37" t="str">
        <f aca="false">IF($B185="","",IF($Y185="",0,$Y185)+IF($Z185="",0,$Z185)+IF($AA185="",0,$AA185))</f>
        <v/>
      </c>
      <c r="AC185" s="35"/>
      <c r="AD185" s="33"/>
      <c r="AE185" s="36" t="str">
        <f aca="false">IF($B185="","",IF(OR($H185="Nonconformity (process)",$S185="Yes",AND(ISNUMBER($W185),$W185&gt;=Settings!$C$20)),"YES – required","No"))</f>
        <v/>
      </c>
      <c r="AF185" s="33"/>
      <c r="AG185" s="33"/>
      <c r="AH185" s="32"/>
      <c r="AI185" s="33"/>
      <c r="AJ185" s="32"/>
      <c r="AK185" s="31" t="str">
        <f aca="false">IF(OR($B185="",$AJ185=""),"",$AJ185-$B185)</f>
        <v/>
      </c>
      <c r="AL185" s="31" t="str">
        <f aca="false">IF($X185="","",INDEX(Settings!$C$15:$C$17,MATCH($X185,Settings!$B$15:$B$17,0)))</f>
        <v/>
      </c>
      <c r="AM185" s="36" t="str">
        <f aca="true">IF($B185="","",IF($AH185="","No due date",IF($AI185="Closed",IF($AJ185="","Missing close date",IF($AJ185&lt;=$AH185,"On time","Late")),IF(TODAY()&gt;$AH185,"OVERDUE","In progress"))))</f>
        <v/>
      </c>
      <c r="AN185" s="35"/>
    </row>
    <row r="186" customFormat="false" ht="27.75" hidden="false" customHeight="true" outlineLevel="0" collapsed="false">
      <c r="A186" s="31" t="str">
        <f aca="false">IF($B186="","",ROW()-4)</f>
        <v/>
      </c>
      <c r="B186" s="32"/>
      <c r="C186" s="32"/>
      <c r="D186" s="33"/>
      <c r="E186" s="33"/>
      <c r="F186" s="33"/>
      <c r="G186" s="34"/>
      <c r="H186" s="33"/>
      <c r="I186" s="33"/>
      <c r="J186" s="33"/>
      <c r="K186" s="33"/>
      <c r="L186" s="35"/>
      <c r="M186" s="33"/>
      <c r="N186" s="33"/>
      <c r="O186" s="33"/>
      <c r="P186" s="33"/>
      <c r="Q186" s="35"/>
      <c r="R186" s="33"/>
      <c r="S186" s="33"/>
      <c r="T186" s="33"/>
      <c r="U186" s="33"/>
      <c r="V186" s="33"/>
      <c r="W186" s="31" t="str">
        <f aca="false">IF(OR($T186="",$U186="",$V186=""),"",$T186*$U186*$V186)</f>
        <v/>
      </c>
      <c r="X186" s="36" t="str">
        <f aca="false">IF($W186="","",IF($T186=5,"High",IF($W186&gt;=Settings!$C$20,"High",IF(OR($W186&gt;=Settings!$C$21,$T186=4),"Medium","Low"))))</f>
        <v/>
      </c>
      <c r="Y186" s="34"/>
      <c r="Z186" s="37" t="str">
        <f aca="false">IF($O186="","",$O186*Settings!$C$5)</f>
        <v/>
      </c>
      <c r="AA186" s="37" t="n">
        <f aca="false">IF(OR($H186&lt;&gt;"Complaint",$P186&lt;&gt;"Upheld",$T186=""),0,IF($G186="",Settings!$C$6,$G186)*INDEX(Settings!$C$8:$C$12,6-$T186))</f>
        <v>0</v>
      </c>
      <c r="AB186" s="37" t="str">
        <f aca="false">IF($B186="","",IF($Y186="",0,$Y186)+IF($Z186="",0,$Z186)+IF($AA186="",0,$AA186))</f>
        <v/>
      </c>
      <c r="AC186" s="35"/>
      <c r="AD186" s="33"/>
      <c r="AE186" s="36" t="str">
        <f aca="false">IF($B186="","",IF(OR($H186="Nonconformity (process)",$S186="Yes",AND(ISNUMBER($W186),$W186&gt;=Settings!$C$20)),"YES – required","No"))</f>
        <v/>
      </c>
      <c r="AF186" s="33"/>
      <c r="AG186" s="33"/>
      <c r="AH186" s="32"/>
      <c r="AI186" s="33"/>
      <c r="AJ186" s="32"/>
      <c r="AK186" s="31" t="str">
        <f aca="false">IF(OR($B186="",$AJ186=""),"",$AJ186-$B186)</f>
        <v/>
      </c>
      <c r="AL186" s="31" t="str">
        <f aca="false">IF($X186="","",INDEX(Settings!$C$15:$C$17,MATCH($X186,Settings!$B$15:$B$17,0)))</f>
        <v/>
      </c>
      <c r="AM186" s="36" t="str">
        <f aca="true">IF($B186="","",IF($AH186="","No due date",IF($AI186="Closed",IF($AJ186="","Missing close date",IF($AJ186&lt;=$AH186,"On time","Late")),IF(TODAY()&gt;$AH186,"OVERDUE","In progress"))))</f>
        <v/>
      </c>
      <c r="AN186" s="35"/>
    </row>
    <row r="187" customFormat="false" ht="27.75" hidden="false" customHeight="true" outlineLevel="0" collapsed="false">
      <c r="A187" s="31" t="str">
        <f aca="false">IF($B187="","",ROW()-4)</f>
        <v/>
      </c>
      <c r="B187" s="32"/>
      <c r="C187" s="32"/>
      <c r="D187" s="33"/>
      <c r="E187" s="33"/>
      <c r="F187" s="33"/>
      <c r="G187" s="34"/>
      <c r="H187" s="33"/>
      <c r="I187" s="33"/>
      <c r="J187" s="33"/>
      <c r="K187" s="33"/>
      <c r="L187" s="35"/>
      <c r="M187" s="33"/>
      <c r="N187" s="33"/>
      <c r="O187" s="33"/>
      <c r="P187" s="33"/>
      <c r="Q187" s="35"/>
      <c r="R187" s="33"/>
      <c r="S187" s="33"/>
      <c r="T187" s="33"/>
      <c r="U187" s="33"/>
      <c r="V187" s="33"/>
      <c r="W187" s="31" t="str">
        <f aca="false">IF(OR($T187="",$U187="",$V187=""),"",$T187*$U187*$V187)</f>
        <v/>
      </c>
      <c r="X187" s="36" t="str">
        <f aca="false">IF($W187="","",IF($T187=5,"High",IF($W187&gt;=Settings!$C$20,"High",IF(OR($W187&gt;=Settings!$C$21,$T187=4),"Medium","Low"))))</f>
        <v/>
      </c>
      <c r="Y187" s="34"/>
      <c r="Z187" s="37" t="str">
        <f aca="false">IF($O187="","",$O187*Settings!$C$5)</f>
        <v/>
      </c>
      <c r="AA187" s="37" t="n">
        <f aca="false">IF(OR($H187&lt;&gt;"Complaint",$P187&lt;&gt;"Upheld",$T187=""),0,IF($G187="",Settings!$C$6,$G187)*INDEX(Settings!$C$8:$C$12,6-$T187))</f>
        <v>0</v>
      </c>
      <c r="AB187" s="37" t="str">
        <f aca="false">IF($B187="","",IF($Y187="",0,$Y187)+IF($Z187="",0,$Z187)+IF($AA187="",0,$AA187))</f>
        <v/>
      </c>
      <c r="AC187" s="35"/>
      <c r="AD187" s="33"/>
      <c r="AE187" s="36" t="str">
        <f aca="false">IF($B187="","",IF(OR($H187="Nonconformity (process)",$S187="Yes",AND(ISNUMBER($W187),$W187&gt;=Settings!$C$20)),"YES – required","No"))</f>
        <v/>
      </c>
      <c r="AF187" s="33"/>
      <c r="AG187" s="33"/>
      <c r="AH187" s="32"/>
      <c r="AI187" s="33"/>
      <c r="AJ187" s="32"/>
      <c r="AK187" s="31" t="str">
        <f aca="false">IF(OR($B187="",$AJ187=""),"",$AJ187-$B187)</f>
        <v/>
      </c>
      <c r="AL187" s="31" t="str">
        <f aca="false">IF($X187="","",INDEX(Settings!$C$15:$C$17,MATCH($X187,Settings!$B$15:$B$17,0)))</f>
        <v/>
      </c>
      <c r="AM187" s="36" t="str">
        <f aca="true">IF($B187="","",IF($AH187="","No due date",IF($AI187="Closed",IF($AJ187="","Missing close date",IF($AJ187&lt;=$AH187,"On time","Late")),IF(TODAY()&gt;$AH187,"OVERDUE","In progress"))))</f>
        <v/>
      </c>
      <c r="AN187" s="35"/>
    </row>
    <row r="188" customFormat="false" ht="27.75" hidden="false" customHeight="true" outlineLevel="0" collapsed="false">
      <c r="A188" s="31" t="str">
        <f aca="false">IF($B188="","",ROW()-4)</f>
        <v/>
      </c>
      <c r="B188" s="32"/>
      <c r="C188" s="32"/>
      <c r="D188" s="33"/>
      <c r="E188" s="33"/>
      <c r="F188" s="33"/>
      <c r="G188" s="34"/>
      <c r="H188" s="33"/>
      <c r="I188" s="33"/>
      <c r="J188" s="33"/>
      <c r="K188" s="33"/>
      <c r="L188" s="35"/>
      <c r="M188" s="33"/>
      <c r="N188" s="33"/>
      <c r="O188" s="33"/>
      <c r="P188" s="33"/>
      <c r="Q188" s="35"/>
      <c r="R188" s="33"/>
      <c r="S188" s="33"/>
      <c r="T188" s="33"/>
      <c r="U188" s="33"/>
      <c r="V188" s="33"/>
      <c r="W188" s="31" t="str">
        <f aca="false">IF(OR($T188="",$U188="",$V188=""),"",$T188*$U188*$V188)</f>
        <v/>
      </c>
      <c r="X188" s="36" t="str">
        <f aca="false">IF($W188="","",IF($T188=5,"High",IF($W188&gt;=Settings!$C$20,"High",IF(OR($W188&gt;=Settings!$C$21,$T188=4),"Medium","Low"))))</f>
        <v/>
      </c>
      <c r="Y188" s="34"/>
      <c r="Z188" s="37" t="str">
        <f aca="false">IF($O188="","",$O188*Settings!$C$5)</f>
        <v/>
      </c>
      <c r="AA188" s="37" t="n">
        <f aca="false">IF(OR($H188&lt;&gt;"Complaint",$P188&lt;&gt;"Upheld",$T188=""),0,IF($G188="",Settings!$C$6,$G188)*INDEX(Settings!$C$8:$C$12,6-$T188))</f>
        <v>0</v>
      </c>
      <c r="AB188" s="37" t="str">
        <f aca="false">IF($B188="","",IF($Y188="",0,$Y188)+IF($Z188="",0,$Z188)+IF($AA188="",0,$AA188))</f>
        <v/>
      </c>
      <c r="AC188" s="35"/>
      <c r="AD188" s="33"/>
      <c r="AE188" s="36" t="str">
        <f aca="false">IF($B188="","",IF(OR($H188="Nonconformity (process)",$S188="Yes",AND(ISNUMBER($W188),$W188&gt;=Settings!$C$20)),"YES – required","No"))</f>
        <v/>
      </c>
      <c r="AF188" s="33"/>
      <c r="AG188" s="33"/>
      <c r="AH188" s="32"/>
      <c r="AI188" s="33"/>
      <c r="AJ188" s="32"/>
      <c r="AK188" s="31" t="str">
        <f aca="false">IF(OR($B188="",$AJ188=""),"",$AJ188-$B188)</f>
        <v/>
      </c>
      <c r="AL188" s="31" t="str">
        <f aca="false">IF($X188="","",INDEX(Settings!$C$15:$C$17,MATCH($X188,Settings!$B$15:$B$17,0)))</f>
        <v/>
      </c>
      <c r="AM188" s="36" t="str">
        <f aca="true">IF($B188="","",IF($AH188="","No due date",IF($AI188="Closed",IF($AJ188="","Missing close date",IF($AJ188&lt;=$AH188,"On time","Late")),IF(TODAY()&gt;$AH188,"OVERDUE","In progress"))))</f>
        <v/>
      </c>
      <c r="AN188" s="35"/>
    </row>
    <row r="189" customFormat="false" ht="27.75" hidden="false" customHeight="true" outlineLevel="0" collapsed="false">
      <c r="A189" s="31" t="str">
        <f aca="false">IF($B189="","",ROW()-4)</f>
        <v/>
      </c>
      <c r="B189" s="32"/>
      <c r="C189" s="32"/>
      <c r="D189" s="33"/>
      <c r="E189" s="33"/>
      <c r="F189" s="33"/>
      <c r="G189" s="34"/>
      <c r="H189" s="33"/>
      <c r="I189" s="33"/>
      <c r="J189" s="33"/>
      <c r="K189" s="33"/>
      <c r="L189" s="35"/>
      <c r="M189" s="33"/>
      <c r="N189" s="33"/>
      <c r="O189" s="33"/>
      <c r="P189" s="33"/>
      <c r="Q189" s="35"/>
      <c r="R189" s="33"/>
      <c r="S189" s="33"/>
      <c r="T189" s="33"/>
      <c r="U189" s="33"/>
      <c r="V189" s="33"/>
      <c r="W189" s="31" t="str">
        <f aca="false">IF(OR($T189="",$U189="",$V189=""),"",$T189*$U189*$V189)</f>
        <v/>
      </c>
      <c r="X189" s="36" t="str">
        <f aca="false">IF($W189="","",IF($T189=5,"High",IF($W189&gt;=Settings!$C$20,"High",IF(OR($W189&gt;=Settings!$C$21,$T189=4),"Medium","Low"))))</f>
        <v/>
      </c>
      <c r="Y189" s="34"/>
      <c r="Z189" s="37" t="str">
        <f aca="false">IF($O189="","",$O189*Settings!$C$5)</f>
        <v/>
      </c>
      <c r="AA189" s="37" t="n">
        <f aca="false">IF(OR($H189&lt;&gt;"Complaint",$P189&lt;&gt;"Upheld",$T189=""),0,IF($G189="",Settings!$C$6,$G189)*INDEX(Settings!$C$8:$C$12,6-$T189))</f>
        <v>0</v>
      </c>
      <c r="AB189" s="37" t="str">
        <f aca="false">IF($B189="","",IF($Y189="",0,$Y189)+IF($Z189="",0,$Z189)+IF($AA189="",0,$AA189))</f>
        <v/>
      </c>
      <c r="AC189" s="35"/>
      <c r="AD189" s="33"/>
      <c r="AE189" s="36" t="str">
        <f aca="false">IF($B189="","",IF(OR($H189="Nonconformity (process)",$S189="Yes",AND(ISNUMBER($W189),$W189&gt;=Settings!$C$20)),"YES – required","No"))</f>
        <v/>
      </c>
      <c r="AF189" s="33"/>
      <c r="AG189" s="33"/>
      <c r="AH189" s="32"/>
      <c r="AI189" s="33"/>
      <c r="AJ189" s="32"/>
      <c r="AK189" s="31" t="str">
        <f aca="false">IF(OR($B189="",$AJ189=""),"",$AJ189-$B189)</f>
        <v/>
      </c>
      <c r="AL189" s="31" t="str">
        <f aca="false">IF($X189="","",INDEX(Settings!$C$15:$C$17,MATCH($X189,Settings!$B$15:$B$17,0)))</f>
        <v/>
      </c>
      <c r="AM189" s="36" t="str">
        <f aca="true">IF($B189="","",IF($AH189="","No due date",IF($AI189="Closed",IF($AJ189="","Missing close date",IF($AJ189&lt;=$AH189,"On time","Late")),IF(TODAY()&gt;$AH189,"OVERDUE","In progress"))))</f>
        <v/>
      </c>
      <c r="AN189" s="35"/>
    </row>
    <row r="190" customFormat="false" ht="27.75" hidden="false" customHeight="true" outlineLevel="0" collapsed="false">
      <c r="A190" s="31" t="str">
        <f aca="false">IF($B190="","",ROW()-4)</f>
        <v/>
      </c>
      <c r="B190" s="32"/>
      <c r="C190" s="32"/>
      <c r="D190" s="33"/>
      <c r="E190" s="33"/>
      <c r="F190" s="33"/>
      <c r="G190" s="34"/>
      <c r="H190" s="33"/>
      <c r="I190" s="33"/>
      <c r="J190" s="33"/>
      <c r="K190" s="33"/>
      <c r="L190" s="35"/>
      <c r="M190" s="33"/>
      <c r="N190" s="33"/>
      <c r="O190" s="33"/>
      <c r="P190" s="33"/>
      <c r="Q190" s="35"/>
      <c r="R190" s="33"/>
      <c r="S190" s="33"/>
      <c r="T190" s="33"/>
      <c r="U190" s="33"/>
      <c r="V190" s="33"/>
      <c r="W190" s="31" t="str">
        <f aca="false">IF(OR($T190="",$U190="",$V190=""),"",$T190*$U190*$V190)</f>
        <v/>
      </c>
      <c r="X190" s="36" t="str">
        <f aca="false">IF($W190="","",IF($T190=5,"High",IF($W190&gt;=Settings!$C$20,"High",IF(OR($W190&gt;=Settings!$C$21,$T190=4),"Medium","Low"))))</f>
        <v/>
      </c>
      <c r="Y190" s="34"/>
      <c r="Z190" s="37" t="str">
        <f aca="false">IF($O190="","",$O190*Settings!$C$5)</f>
        <v/>
      </c>
      <c r="AA190" s="37" t="n">
        <f aca="false">IF(OR($H190&lt;&gt;"Complaint",$P190&lt;&gt;"Upheld",$T190=""),0,IF($G190="",Settings!$C$6,$G190)*INDEX(Settings!$C$8:$C$12,6-$T190))</f>
        <v>0</v>
      </c>
      <c r="AB190" s="37" t="str">
        <f aca="false">IF($B190="","",IF($Y190="",0,$Y190)+IF($Z190="",0,$Z190)+IF($AA190="",0,$AA190))</f>
        <v/>
      </c>
      <c r="AC190" s="35"/>
      <c r="AD190" s="33"/>
      <c r="AE190" s="36" t="str">
        <f aca="false">IF($B190="","",IF(OR($H190="Nonconformity (process)",$S190="Yes",AND(ISNUMBER($W190),$W190&gt;=Settings!$C$20)),"YES – required","No"))</f>
        <v/>
      </c>
      <c r="AF190" s="33"/>
      <c r="AG190" s="33"/>
      <c r="AH190" s="32"/>
      <c r="AI190" s="33"/>
      <c r="AJ190" s="32"/>
      <c r="AK190" s="31" t="str">
        <f aca="false">IF(OR($B190="",$AJ190=""),"",$AJ190-$B190)</f>
        <v/>
      </c>
      <c r="AL190" s="31" t="str">
        <f aca="false">IF($X190="","",INDEX(Settings!$C$15:$C$17,MATCH($X190,Settings!$B$15:$B$17,0)))</f>
        <v/>
      </c>
      <c r="AM190" s="36" t="str">
        <f aca="true">IF($B190="","",IF($AH190="","No due date",IF($AI190="Closed",IF($AJ190="","Missing close date",IF($AJ190&lt;=$AH190,"On time","Late")),IF(TODAY()&gt;$AH190,"OVERDUE","In progress"))))</f>
        <v/>
      </c>
      <c r="AN190" s="35"/>
    </row>
    <row r="191" customFormat="false" ht="27.75" hidden="false" customHeight="true" outlineLevel="0" collapsed="false">
      <c r="A191" s="31" t="str">
        <f aca="false">IF($B191="","",ROW()-4)</f>
        <v/>
      </c>
      <c r="B191" s="32"/>
      <c r="C191" s="32"/>
      <c r="D191" s="33"/>
      <c r="E191" s="33"/>
      <c r="F191" s="33"/>
      <c r="G191" s="34"/>
      <c r="H191" s="33"/>
      <c r="I191" s="33"/>
      <c r="J191" s="33"/>
      <c r="K191" s="33"/>
      <c r="L191" s="35"/>
      <c r="M191" s="33"/>
      <c r="N191" s="33"/>
      <c r="O191" s="33"/>
      <c r="P191" s="33"/>
      <c r="Q191" s="35"/>
      <c r="R191" s="33"/>
      <c r="S191" s="33"/>
      <c r="T191" s="33"/>
      <c r="U191" s="33"/>
      <c r="V191" s="33"/>
      <c r="W191" s="31" t="str">
        <f aca="false">IF(OR($T191="",$U191="",$V191=""),"",$T191*$U191*$V191)</f>
        <v/>
      </c>
      <c r="X191" s="36" t="str">
        <f aca="false">IF($W191="","",IF($T191=5,"High",IF($W191&gt;=Settings!$C$20,"High",IF(OR($W191&gt;=Settings!$C$21,$T191=4),"Medium","Low"))))</f>
        <v/>
      </c>
      <c r="Y191" s="34"/>
      <c r="Z191" s="37" t="str">
        <f aca="false">IF($O191="","",$O191*Settings!$C$5)</f>
        <v/>
      </c>
      <c r="AA191" s="37" t="n">
        <f aca="false">IF(OR($H191&lt;&gt;"Complaint",$P191&lt;&gt;"Upheld",$T191=""),0,IF($G191="",Settings!$C$6,$G191)*INDEX(Settings!$C$8:$C$12,6-$T191))</f>
        <v>0</v>
      </c>
      <c r="AB191" s="37" t="str">
        <f aca="false">IF($B191="","",IF($Y191="",0,$Y191)+IF($Z191="",0,$Z191)+IF($AA191="",0,$AA191))</f>
        <v/>
      </c>
      <c r="AC191" s="35"/>
      <c r="AD191" s="33"/>
      <c r="AE191" s="36" t="str">
        <f aca="false">IF($B191="","",IF(OR($H191="Nonconformity (process)",$S191="Yes",AND(ISNUMBER($W191),$W191&gt;=Settings!$C$20)),"YES – required","No"))</f>
        <v/>
      </c>
      <c r="AF191" s="33"/>
      <c r="AG191" s="33"/>
      <c r="AH191" s="32"/>
      <c r="AI191" s="33"/>
      <c r="AJ191" s="32"/>
      <c r="AK191" s="31" t="str">
        <f aca="false">IF(OR($B191="",$AJ191=""),"",$AJ191-$B191)</f>
        <v/>
      </c>
      <c r="AL191" s="31" t="str">
        <f aca="false">IF($X191="","",INDEX(Settings!$C$15:$C$17,MATCH($X191,Settings!$B$15:$B$17,0)))</f>
        <v/>
      </c>
      <c r="AM191" s="36" t="str">
        <f aca="true">IF($B191="","",IF($AH191="","No due date",IF($AI191="Closed",IF($AJ191="","Missing close date",IF($AJ191&lt;=$AH191,"On time","Late")),IF(TODAY()&gt;$AH191,"OVERDUE","In progress"))))</f>
        <v/>
      </c>
      <c r="AN191" s="35"/>
    </row>
    <row r="192" customFormat="false" ht="27.75" hidden="false" customHeight="true" outlineLevel="0" collapsed="false">
      <c r="A192" s="31" t="str">
        <f aca="false">IF($B192="","",ROW()-4)</f>
        <v/>
      </c>
      <c r="B192" s="32"/>
      <c r="C192" s="32"/>
      <c r="D192" s="33"/>
      <c r="E192" s="33"/>
      <c r="F192" s="33"/>
      <c r="G192" s="34"/>
      <c r="H192" s="33"/>
      <c r="I192" s="33"/>
      <c r="J192" s="33"/>
      <c r="K192" s="33"/>
      <c r="L192" s="35"/>
      <c r="M192" s="33"/>
      <c r="N192" s="33"/>
      <c r="O192" s="33"/>
      <c r="P192" s="33"/>
      <c r="Q192" s="35"/>
      <c r="R192" s="33"/>
      <c r="S192" s="33"/>
      <c r="T192" s="33"/>
      <c r="U192" s="33"/>
      <c r="V192" s="33"/>
      <c r="W192" s="31" t="str">
        <f aca="false">IF(OR($T192="",$U192="",$V192=""),"",$T192*$U192*$V192)</f>
        <v/>
      </c>
      <c r="X192" s="36" t="str">
        <f aca="false">IF($W192="","",IF($T192=5,"High",IF($W192&gt;=Settings!$C$20,"High",IF(OR($W192&gt;=Settings!$C$21,$T192=4),"Medium","Low"))))</f>
        <v/>
      </c>
      <c r="Y192" s="34"/>
      <c r="Z192" s="37" t="str">
        <f aca="false">IF($O192="","",$O192*Settings!$C$5)</f>
        <v/>
      </c>
      <c r="AA192" s="37" t="n">
        <f aca="false">IF(OR($H192&lt;&gt;"Complaint",$P192&lt;&gt;"Upheld",$T192=""),0,IF($G192="",Settings!$C$6,$G192)*INDEX(Settings!$C$8:$C$12,6-$T192))</f>
        <v>0</v>
      </c>
      <c r="AB192" s="37" t="str">
        <f aca="false">IF($B192="","",IF($Y192="",0,$Y192)+IF($Z192="",0,$Z192)+IF($AA192="",0,$AA192))</f>
        <v/>
      </c>
      <c r="AC192" s="35"/>
      <c r="AD192" s="33"/>
      <c r="AE192" s="36" t="str">
        <f aca="false">IF($B192="","",IF(OR($H192="Nonconformity (process)",$S192="Yes",AND(ISNUMBER($W192),$W192&gt;=Settings!$C$20)),"YES – required","No"))</f>
        <v/>
      </c>
      <c r="AF192" s="33"/>
      <c r="AG192" s="33"/>
      <c r="AH192" s="32"/>
      <c r="AI192" s="33"/>
      <c r="AJ192" s="32"/>
      <c r="AK192" s="31" t="str">
        <f aca="false">IF(OR($B192="",$AJ192=""),"",$AJ192-$B192)</f>
        <v/>
      </c>
      <c r="AL192" s="31" t="str">
        <f aca="false">IF($X192="","",INDEX(Settings!$C$15:$C$17,MATCH($X192,Settings!$B$15:$B$17,0)))</f>
        <v/>
      </c>
      <c r="AM192" s="36" t="str">
        <f aca="true">IF($B192="","",IF($AH192="","No due date",IF($AI192="Closed",IF($AJ192="","Missing close date",IF($AJ192&lt;=$AH192,"On time","Late")),IF(TODAY()&gt;$AH192,"OVERDUE","In progress"))))</f>
        <v/>
      </c>
      <c r="AN192" s="35"/>
    </row>
    <row r="193" customFormat="false" ht="27.75" hidden="false" customHeight="true" outlineLevel="0" collapsed="false">
      <c r="A193" s="31" t="str">
        <f aca="false">IF($B193="","",ROW()-4)</f>
        <v/>
      </c>
      <c r="B193" s="32"/>
      <c r="C193" s="32"/>
      <c r="D193" s="33"/>
      <c r="E193" s="33"/>
      <c r="F193" s="33"/>
      <c r="G193" s="34"/>
      <c r="H193" s="33"/>
      <c r="I193" s="33"/>
      <c r="J193" s="33"/>
      <c r="K193" s="33"/>
      <c r="L193" s="35"/>
      <c r="M193" s="33"/>
      <c r="N193" s="33"/>
      <c r="O193" s="33"/>
      <c r="P193" s="33"/>
      <c r="Q193" s="35"/>
      <c r="R193" s="33"/>
      <c r="S193" s="33"/>
      <c r="T193" s="33"/>
      <c r="U193" s="33"/>
      <c r="V193" s="33"/>
      <c r="W193" s="31" t="str">
        <f aca="false">IF(OR($T193="",$U193="",$V193=""),"",$T193*$U193*$V193)</f>
        <v/>
      </c>
      <c r="X193" s="36" t="str">
        <f aca="false">IF($W193="","",IF($T193=5,"High",IF($W193&gt;=Settings!$C$20,"High",IF(OR($W193&gt;=Settings!$C$21,$T193=4),"Medium","Low"))))</f>
        <v/>
      </c>
      <c r="Y193" s="34"/>
      <c r="Z193" s="37" t="str">
        <f aca="false">IF($O193="","",$O193*Settings!$C$5)</f>
        <v/>
      </c>
      <c r="AA193" s="37" t="n">
        <f aca="false">IF(OR($H193&lt;&gt;"Complaint",$P193&lt;&gt;"Upheld",$T193=""),0,IF($G193="",Settings!$C$6,$G193)*INDEX(Settings!$C$8:$C$12,6-$T193))</f>
        <v>0</v>
      </c>
      <c r="AB193" s="37" t="str">
        <f aca="false">IF($B193="","",IF($Y193="",0,$Y193)+IF($Z193="",0,$Z193)+IF($AA193="",0,$AA193))</f>
        <v/>
      </c>
      <c r="AC193" s="35"/>
      <c r="AD193" s="33"/>
      <c r="AE193" s="36" t="str">
        <f aca="false">IF($B193="","",IF(OR($H193="Nonconformity (process)",$S193="Yes",AND(ISNUMBER($W193),$W193&gt;=Settings!$C$20)),"YES – required","No"))</f>
        <v/>
      </c>
      <c r="AF193" s="33"/>
      <c r="AG193" s="33"/>
      <c r="AH193" s="32"/>
      <c r="AI193" s="33"/>
      <c r="AJ193" s="32"/>
      <c r="AK193" s="31" t="str">
        <f aca="false">IF(OR($B193="",$AJ193=""),"",$AJ193-$B193)</f>
        <v/>
      </c>
      <c r="AL193" s="31" t="str">
        <f aca="false">IF($X193="","",INDEX(Settings!$C$15:$C$17,MATCH($X193,Settings!$B$15:$B$17,0)))</f>
        <v/>
      </c>
      <c r="AM193" s="36" t="str">
        <f aca="true">IF($B193="","",IF($AH193="","No due date",IF($AI193="Closed",IF($AJ193="","Missing close date",IF($AJ193&lt;=$AH193,"On time","Late")),IF(TODAY()&gt;$AH193,"OVERDUE","In progress"))))</f>
        <v/>
      </c>
      <c r="AN193" s="35"/>
    </row>
    <row r="194" customFormat="false" ht="27.75" hidden="false" customHeight="true" outlineLevel="0" collapsed="false">
      <c r="A194" s="31" t="str">
        <f aca="false">IF($B194="","",ROW()-4)</f>
        <v/>
      </c>
      <c r="B194" s="32"/>
      <c r="C194" s="32"/>
      <c r="D194" s="33"/>
      <c r="E194" s="33"/>
      <c r="F194" s="33"/>
      <c r="G194" s="34"/>
      <c r="H194" s="33"/>
      <c r="I194" s="33"/>
      <c r="J194" s="33"/>
      <c r="K194" s="33"/>
      <c r="L194" s="35"/>
      <c r="M194" s="33"/>
      <c r="N194" s="33"/>
      <c r="O194" s="33"/>
      <c r="P194" s="33"/>
      <c r="Q194" s="35"/>
      <c r="R194" s="33"/>
      <c r="S194" s="33"/>
      <c r="T194" s="33"/>
      <c r="U194" s="33"/>
      <c r="V194" s="33"/>
      <c r="W194" s="31" t="str">
        <f aca="false">IF(OR($T194="",$U194="",$V194=""),"",$T194*$U194*$V194)</f>
        <v/>
      </c>
      <c r="X194" s="36" t="str">
        <f aca="false">IF($W194="","",IF($T194=5,"High",IF($W194&gt;=Settings!$C$20,"High",IF(OR($W194&gt;=Settings!$C$21,$T194=4),"Medium","Low"))))</f>
        <v/>
      </c>
      <c r="Y194" s="34"/>
      <c r="Z194" s="37" t="str">
        <f aca="false">IF($O194="","",$O194*Settings!$C$5)</f>
        <v/>
      </c>
      <c r="AA194" s="37" t="n">
        <f aca="false">IF(OR($H194&lt;&gt;"Complaint",$P194&lt;&gt;"Upheld",$T194=""),0,IF($G194="",Settings!$C$6,$G194)*INDEX(Settings!$C$8:$C$12,6-$T194))</f>
        <v>0</v>
      </c>
      <c r="AB194" s="37" t="str">
        <f aca="false">IF($B194="","",IF($Y194="",0,$Y194)+IF($Z194="",0,$Z194)+IF($AA194="",0,$AA194))</f>
        <v/>
      </c>
      <c r="AC194" s="35"/>
      <c r="AD194" s="33"/>
      <c r="AE194" s="36" t="str">
        <f aca="false">IF($B194="","",IF(OR($H194="Nonconformity (process)",$S194="Yes",AND(ISNUMBER($W194),$W194&gt;=Settings!$C$20)),"YES – required","No"))</f>
        <v/>
      </c>
      <c r="AF194" s="33"/>
      <c r="AG194" s="33"/>
      <c r="AH194" s="32"/>
      <c r="AI194" s="33"/>
      <c r="AJ194" s="32"/>
      <c r="AK194" s="31" t="str">
        <f aca="false">IF(OR($B194="",$AJ194=""),"",$AJ194-$B194)</f>
        <v/>
      </c>
      <c r="AL194" s="31" t="str">
        <f aca="false">IF($X194="","",INDEX(Settings!$C$15:$C$17,MATCH($X194,Settings!$B$15:$B$17,0)))</f>
        <v/>
      </c>
      <c r="AM194" s="36" t="str">
        <f aca="true">IF($B194="","",IF($AH194="","No due date",IF($AI194="Closed",IF($AJ194="","Missing close date",IF($AJ194&lt;=$AH194,"On time","Late")),IF(TODAY()&gt;$AH194,"OVERDUE","In progress"))))</f>
        <v/>
      </c>
      <c r="AN194" s="35"/>
    </row>
    <row r="195" customFormat="false" ht="27.75" hidden="false" customHeight="true" outlineLevel="0" collapsed="false">
      <c r="A195" s="31" t="str">
        <f aca="false">IF($B195="","",ROW()-4)</f>
        <v/>
      </c>
      <c r="B195" s="32"/>
      <c r="C195" s="32"/>
      <c r="D195" s="33"/>
      <c r="E195" s="33"/>
      <c r="F195" s="33"/>
      <c r="G195" s="34"/>
      <c r="H195" s="33"/>
      <c r="I195" s="33"/>
      <c r="J195" s="33"/>
      <c r="K195" s="33"/>
      <c r="L195" s="35"/>
      <c r="M195" s="33"/>
      <c r="N195" s="33"/>
      <c r="O195" s="33"/>
      <c r="P195" s="33"/>
      <c r="Q195" s="35"/>
      <c r="R195" s="33"/>
      <c r="S195" s="33"/>
      <c r="T195" s="33"/>
      <c r="U195" s="33"/>
      <c r="V195" s="33"/>
      <c r="W195" s="31" t="str">
        <f aca="false">IF(OR($T195="",$U195="",$V195=""),"",$T195*$U195*$V195)</f>
        <v/>
      </c>
      <c r="X195" s="36" t="str">
        <f aca="false">IF($W195="","",IF($T195=5,"High",IF($W195&gt;=Settings!$C$20,"High",IF(OR($W195&gt;=Settings!$C$21,$T195=4),"Medium","Low"))))</f>
        <v/>
      </c>
      <c r="Y195" s="34"/>
      <c r="Z195" s="37" t="str">
        <f aca="false">IF($O195="","",$O195*Settings!$C$5)</f>
        <v/>
      </c>
      <c r="AA195" s="37" t="n">
        <f aca="false">IF(OR($H195&lt;&gt;"Complaint",$P195&lt;&gt;"Upheld",$T195=""),0,IF($G195="",Settings!$C$6,$G195)*INDEX(Settings!$C$8:$C$12,6-$T195))</f>
        <v>0</v>
      </c>
      <c r="AB195" s="37" t="str">
        <f aca="false">IF($B195="","",IF($Y195="",0,$Y195)+IF($Z195="",0,$Z195)+IF($AA195="",0,$AA195))</f>
        <v/>
      </c>
      <c r="AC195" s="35"/>
      <c r="AD195" s="33"/>
      <c r="AE195" s="36" t="str">
        <f aca="false">IF($B195="","",IF(OR($H195="Nonconformity (process)",$S195="Yes",AND(ISNUMBER($W195),$W195&gt;=Settings!$C$20)),"YES – required","No"))</f>
        <v/>
      </c>
      <c r="AF195" s="33"/>
      <c r="AG195" s="33"/>
      <c r="AH195" s="32"/>
      <c r="AI195" s="33"/>
      <c r="AJ195" s="32"/>
      <c r="AK195" s="31" t="str">
        <f aca="false">IF(OR($B195="",$AJ195=""),"",$AJ195-$B195)</f>
        <v/>
      </c>
      <c r="AL195" s="31" t="str">
        <f aca="false">IF($X195="","",INDEX(Settings!$C$15:$C$17,MATCH($X195,Settings!$B$15:$B$17,0)))</f>
        <v/>
      </c>
      <c r="AM195" s="36" t="str">
        <f aca="true">IF($B195="","",IF($AH195="","No due date",IF($AI195="Closed",IF($AJ195="","Missing close date",IF($AJ195&lt;=$AH195,"On time","Late")),IF(TODAY()&gt;$AH195,"OVERDUE","In progress"))))</f>
        <v/>
      </c>
      <c r="AN195" s="35"/>
    </row>
    <row r="196" customFormat="false" ht="27.75" hidden="false" customHeight="true" outlineLevel="0" collapsed="false">
      <c r="A196" s="31" t="str">
        <f aca="false">IF($B196="","",ROW()-4)</f>
        <v/>
      </c>
      <c r="B196" s="32"/>
      <c r="C196" s="32"/>
      <c r="D196" s="33"/>
      <c r="E196" s="33"/>
      <c r="F196" s="33"/>
      <c r="G196" s="34"/>
      <c r="H196" s="33"/>
      <c r="I196" s="33"/>
      <c r="J196" s="33"/>
      <c r="K196" s="33"/>
      <c r="L196" s="35"/>
      <c r="M196" s="33"/>
      <c r="N196" s="33"/>
      <c r="O196" s="33"/>
      <c r="P196" s="33"/>
      <c r="Q196" s="35"/>
      <c r="R196" s="33"/>
      <c r="S196" s="33"/>
      <c r="T196" s="33"/>
      <c r="U196" s="33"/>
      <c r="V196" s="33"/>
      <c r="W196" s="31" t="str">
        <f aca="false">IF(OR($T196="",$U196="",$V196=""),"",$T196*$U196*$V196)</f>
        <v/>
      </c>
      <c r="X196" s="36" t="str">
        <f aca="false">IF($W196="","",IF($T196=5,"High",IF($W196&gt;=Settings!$C$20,"High",IF(OR($W196&gt;=Settings!$C$21,$T196=4),"Medium","Low"))))</f>
        <v/>
      </c>
      <c r="Y196" s="34"/>
      <c r="Z196" s="37" t="str">
        <f aca="false">IF($O196="","",$O196*Settings!$C$5)</f>
        <v/>
      </c>
      <c r="AA196" s="37" t="n">
        <f aca="false">IF(OR($H196&lt;&gt;"Complaint",$P196&lt;&gt;"Upheld",$T196=""),0,IF($G196="",Settings!$C$6,$G196)*INDEX(Settings!$C$8:$C$12,6-$T196))</f>
        <v>0</v>
      </c>
      <c r="AB196" s="37" t="str">
        <f aca="false">IF($B196="","",IF($Y196="",0,$Y196)+IF($Z196="",0,$Z196)+IF($AA196="",0,$AA196))</f>
        <v/>
      </c>
      <c r="AC196" s="35"/>
      <c r="AD196" s="33"/>
      <c r="AE196" s="36" t="str">
        <f aca="false">IF($B196="","",IF(OR($H196="Nonconformity (process)",$S196="Yes",AND(ISNUMBER($W196),$W196&gt;=Settings!$C$20)),"YES – required","No"))</f>
        <v/>
      </c>
      <c r="AF196" s="33"/>
      <c r="AG196" s="33"/>
      <c r="AH196" s="32"/>
      <c r="AI196" s="33"/>
      <c r="AJ196" s="32"/>
      <c r="AK196" s="31" t="str">
        <f aca="false">IF(OR($B196="",$AJ196=""),"",$AJ196-$B196)</f>
        <v/>
      </c>
      <c r="AL196" s="31" t="str">
        <f aca="false">IF($X196="","",INDEX(Settings!$C$15:$C$17,MATCH($X196,Settings!$B$15:$B$17,0)))</f>
        <v/>
      </c>
      <c r="AM196" s="36" t="str">
        <f aca="true">IF($B196="","",IF($AH196="","No due date",IF($AI196="Closed",IF($AJ196="","Missing close date",IF($AJ196&lt;=$AH196,"On time","Late")),IF(TODAY()&gt;$AH196,"OVERDUE","In progress"))))</f>
        <v/>
      </c>
      <c r="AN196" s="35"/>
    </row>
    <row r="197" customFormat="false" ht="27.75" hidden="false" customHeight="true" outlineLevel="0" collapsed="false">
      <c r="A197" s="31" t="str">
        <f aca="false">IF($B197="","",ROW()-4)</f>
        <v/>
      </c>
      <c r="B197" s="32"/>
      <c r="C197" s="32"/>
      <c r="D197" s="33"/>
      <c r="E197" s="33"/>
      <c r="F197" s="33"/>
      <c r="G197" s="34"/>
      <c r="H197" s="33"/>
      <c r="I197" s="33"/>
      <c r="J197" s="33"/>
      <c r="K197" s="33"/>
      <c r="L197" s="35"/>
      <c r="M197" s="33"/>
      <c r="N197" s="33"/>
      <c r="O197" s="33"/>
      <c r="P197" s="33"/>
      <c r="Q197" s="35"/>
      <c r="R197" s="33"/>
      <c r="S197" s="33"/>
      <c r="T197" s="33"/>
      <c r="U197" s="33"/>
      <c r="V197" s="33"/>
      <c r="W197" s="31" t="str">
        <f aca="false">IF(OR($T197="",$U197="",$V197=""),"",$T197*$U197*$V197)</f>
        <v/>
      </c>
      <c r="X197" s="36" t="str">
        <f aca="false">IF($W197="","",IF($T197=5,"High",IF($W197&gt;=Settings!$C$20,"High",IF(OR($W197&gt;=Settings!$C$21,$T197=4),"Medium","Low"))))</f>
        <v/>
      </c>
      <c r="Y197" s="34"/>
      <c r="Z197" s="37" t="str">
        <f aca="false">IF($O197="","",$O197*Settings!$C$5)</f>
        <v/>
      </c>
      <c r="AA197" s="37" t="n">
        <f aca="false">IF(OR($H197&lt;&gt;"Complaint",$P197&lt;&gt;"Upheld",$T197=""),0,IF($G197="",Settings!$C$6,$G197)*INDEX(Settings!$C$8:$C$12,6-$T197))</f>
        <v>0</v>
      </c>
      <c r="AB197" s="37" t="str">
        <f aca="false">IF($B197="","",IF($Y197="",0,$Y197)+IF($Z197="",0,$Z197)+IF($AA197="",0,$AA197))</f>
        <v/>
      </c>
      <c r="AC197" s="35"/>
      <c r="AD197" s="33"/>
      <c r="AE197" s="36" t="str">
        <f aca="false">IF($B197="","",IF(OR($H197="Nonconformity (process)",$S197="Yes",AND(ISNUMBER($W197),$W197&gt;=Settings!$C$20)),"YES – required","No"))</f>
        <v/>
      </c>
      <c r="AF197" s="33"/>
      <c r="AG197" s="33"/>
      <c r="AH197" s="32"/>
      <c r="AI197" s="33"/>
      <c r="AJ197" s="32"/>
      <c r="AK197" s="31" t="str">
        <f aca="false">IF(OR($B197="",$AJ197=""),"",$AJ197-$B197)</f>
        <v/>
      </c>
      <c r="AL197" s="31" t="str">
        <f aca="false">IF($X197="","",INDEX(Settings!$C$15:$C$17,MATCH($X197,Settings!$B$15:$B$17,0)))</f>
        <v/>
      </c>
      <c r="AM197" s="36" t="str">
        <f aca="true">IF($B197="","",IF($AH197="","No due date",IF($AI197="Closed",IF($AJ197="","Missing close date",IF($AJ197&lt;=$AH197,"On time","Late")),IF(TODAY()&gt;$AH197,"OVERDUE","In progress"))))</f>
        <v/>
      </c>
      <c r="AN197" s="35"/>
    </row>
    <row r="198" customFormat="false" ht="27.75" hidden="false" customHeight="true" outlineLevel="0" collapsed="false">
      <c r="A198" s="31" t="str">
        <f aca="false">IF($B198="","",ROW()-4)</f>
        <v/>
      </c>
      <c r="B198" s="32"/>
      <c r="C198" s="32"/>
      <c r="D198" s="33"/>
      <c r="E198" s="33"/>
      <c r="F198" s="33"/>
      <c r="G198" s="34"/>
      <c r="H198" s="33"/>
      <c r="I198" s="33"/>
      <c r="J198" s="33"/>
      <c r="K198" s="33"/>
      <c r="L198" s="35"/>
      <c r="M198" s="33"/>
      <c r="N198" s="33"/>
      <c r="O198" s="33"/>
      <c r="P198" s="33"/>
      <c r="Q198" s="35"/>
      <c r="R198" s="33"/>
      <c r="S198" s="33"/>
      <c r="T198" s="33"/>
      <c r="U198" s="33"/>
      <c r="V198" s="33"/>
      <c r="W198" s="31" t="str">
        <f aca="false">IF(OR($T198="",$U198="",$V198=""),"",$T198*$U198*$V198)</f>
        <v/>
      </c>
      <c r="X198" s="36" t="str">
        <f aca="false">IF($W198="","",IF($T198=5,"High",IF($W198&gt;=Settings!$C$20,"High",IF(OR($W198&gt;=Settings!$C$21,$T198=4),"Medium","Low"))))</f>
        <v/>
      </c>
      <c r="Y198" s="34"/>
      <c r="Z198" s="37" t="str">
        <f aca="false">IF($O198="","",$O198*Settings!$C$5)</f>
        <v/>
      </c>
      <c r="AA198" s="37" t="n">
        <f aca="false">IF(OR($H198&lt;&gt;"Complaint",$P198&lt;&gt;"Upheld",$T198=""),0,IF($G198="",Settings!$C$6,$G198)*INDEX(Settings!$C$8:$C$12,6-$T198))</f>
        <v>0</v>
      </c>
      <c r="AB198" s="37" t="str">
        <f aca="false">IF($B198="","",IF($Y198="",0,$Y198)+IF($Z198="",0,$Z198)+IF($AA198="",0,$AA198))</f>
        <v/>
      </c>
      <c r="AC198" s="35"/>
      <c r="AD198" s="33"/>
      <c r="AE198" s="36" t="str">
        <f aca="false">IF($B198="","",IF(OR($H198="Nonconformity (process)",$S198="Yes",AND(ISNUMBER($W198),$W198&gt;=Settings!$C$20)),"YES – required","No"))</f>
        <v/>
      </c>
      <c r="AF198" s="33"/>
      <c r="AG198" s="33"/>
      <c r="AH198" s="32"/>
      <c r="AI198" s="33"/>
      <c r="AJ198" s="32"/>
      <c r="AK198" s="31" t="str">
        <f aca="false">IF(OR($B198="",$AJ198=""),"",$AJ198-$B198)</f>
        <v/>
      </c>
      <c r="AL198" s="31" t="str">
        <f aca="false">IF($X198="","",INDEX(Settings!$C$15:$C$17,MATCH($X198,Settings!$B$15:$B$17,0)))</f>
        <v/>
      </c>
      <c r="AM198" s="36" t="str">
        <f aca="true">IF($B198="","",IF($AH198="","No due date",IF($AI198="Closed",IF($AJ198="","Missing close date",IF($AJ198&lt;=$AH198,"On time","Late")),IF(TODAY()&gt;$AH198,"OVERDUE","In progress"))))</f>
        <v/>
      </c>
      <c r="AN198" s="35"/>
    </row>
    <row r="199" customFormat="false" ht="27.75" hidden="false" customHeight="true" outlineLevel="0" collapsed="false">
      <c r="A199" s="31" t="str">
        <f aca="false">IF($B199="","",ROW()-4)</f>
        <v/>
      </c>
      <c r="B199" s="32"/>
      <c r="C199" s="32"/>
      <c r="D199" s="33"/>
      <c r="E199" s="33"/>
      <c r="F199" s="33"/>
      <c r="G199" s="34"/>
      <c r="H199" s="33"/>
      <c r="I199" s="33"/>
      <c r="J199" s="33"/>
      <c r="K199" s="33"/>
      <c r="L199" s="35"/>
      <c r="M199" s="33"/>
      <c r="N199" s="33"/>
      <c r="O199" s="33"/>
      <c r="P199" s="33"/>
      <c r="Q199" s="35"/>
      <c r="R199" s="33"/>
      <c r="S199" s="33"/>
      <c r="T199" s="33"/>
      <c r="U199" s="33"/>
      <c r="V199" s="33"/>
      <c r="W199" s="31" t="str">
        <f aca="false">IF(OR($T199="",$U199="",$V199=""),"",$T199*$U199*$V199)</f>
        <v/>
      </c>
      <c r="X199" s="36" t="str">
        <f aca="false">IF($W199="","",IF($T199=5,"High",IF($W199&gt;=Settings!$C$20,"High",IF(OR($W199&gt;=Settings!$C$21,$T199=4),"Medium","Low"))))</f>
        <v/>
      </c>
      <c r="Y199" s="34"/>
      <c r="Z199" s="37" t="str">
        <f aca="false">IF($O199="","",$O199*Settings!$C$5)</f>
        <v/>
      </c>
      <c r="AA199" s="37" t="n">
        <f aca="false">IF(OR($H199&lt;&gt;"Complaint",$P199&lt;&gt;"Upheld",$T199=""),0,IF($G199="",Settings!$C$6,$G199)*INDEX(Settings!$C$8:$C$12,6-$T199))</f>
        <v>0</v>
      </c>
      <c r="AB199" s="37" t="str">
        <f aca="false">IF($B199="","",IF($Y199="",0,$Y199)+IF($Z199="",0,$Z199)+IF($AA199="",0,$AA199))</f>
        <v/>
      </c>
      <c r="AC199" s="35"/>
      <c r="AD199" s="33"/>
      <c r="AE199" s="36" t="str">
        <f aca="false">IF($B199="","",IF(OR($H199="Nonconformity (process)",$S199="Yes",AND(ISNUMBER($W199),$W199&gt;=Settings!$C$20)),"YES – required","No"))</f>
        <v/>
      </c>
      <c r="AF199" s="33"/>
      <c r="AG199" s="33"/>
      <c r="AH199" s="32"/>
      <c r="AI199" s="33"/>
      <c r="AJ199" s="32"/>
      <c r="AK199" s="31" t="str">
        <f aca="false">IF(OR($B199="",$AJ199=""),"",$AJ199-$B199)</f>
        <v/>
      </c>
      <c r="AL199" s="31" t="str">
        <f aca="false">IF($X199="","",INDEX(Settings!$C$15:$C$17,MATCH($X199,Settings!$B$15:$B$17,0)))</f>
        <v/>
      </c>
      <c r="AM199" s="36" t="str">
        <f aca="true">IF($B199="","",IF($AH199="","No due date",IF($AI199="Closed",IF($AJ199="","Missing close date",IF($AJ199&lt;=$AH199,"On time","Late")),IF(TODAY()&gt;$AH199,"OVERDUE","In progress"))))</f>
        <v/>
      </c>
      <c r="AN199" s="35"/>
    </row>
    <row r="200" customFormat="false" ht="27.75" hidden="false" customHeight="true" outlineLevel="0" collapsed="false">
      <c r="A200" s="31" t="str">
        <f aca="false">IF($B200="","",ROW()-4)</f>
        <v/>
      </c>
      <c r="B200" s="32"/>
      <c r="C200" s="32"/>
      <c r="D200" s="33"/>
      <c r="E200" s="33"/>
      <c r="F200" s="33"/>
      <c r="G200" s="34"/>
      <c r="H200" s="33"/>
      <c r="I200" s="33"/>
      <c r="J200" s="33"/>
      <c r="K200" s="33"/>
      <c r="L200" s="35"/>
      <c r="M200" s="33"/>
      <c r="N200" s="33"/>
      <c r="O200" s="33"/>
      <c r="P200" s="33"/>
      <c r="Q200" s="35"/>
      <c r="R200" s="33"/>
      <c r="S200" s="33"/>
      <c r="T200" s="33"/>
      <c r="U200" s="33"/>
      <c r="V200" s="33"/>
      <c r="W200" s="31" t="str">
        <f aca="false">IF(OR($T200="",$U200="",$V200=""),"",$T200*$U200*$V200)</f>
        <v/>
      </c>
      <c r="X200" s="36" t="str">
        <f aca="false">IF($W200="","",IF($T200=5,"High",IF($W200&gt;=Settings!$C$20,"High",IF(OR($W200&gt;=Settings!$C$21,$T200=4),"Medium","Low"))))</f>
        <v/>
      </c>
      <c r="Y200" s="34"/>
      <c r="Z200" s="37" t="str">
        <f aca="false">IF($O200="","",$O200*Settings!$C$5)</f>
        <v/>
      </c>
      <c r="AA200" s="37" t="n">
        <f aca="false">IF(OR($H200&lt;&gt;"Complaint",$P200&lt;&gt;"Upheld",$T200=""),0,IF($G200="",Settings!$C$6,$G200)*INDEX(Settings!$C$8:$C$12,6-$T200))</f>
        <v>0</v>
      </c>
      <c r="AB200" s="37" t="str">
        <f aca="false">IF($B200="","",IF($Y200="",0,$Y200)+IF($Z200="",0,$Z200)+IF($AA200="",0,$AA200))</f>
        <v/>
      </c>
      <c r="AC200" s="35"/>
      <c r="AD200" s="33"/>
      <c r="AE200" s="36" t="str">
        <f aca="false">IF($B200="","",IF(OR($H200="Nonconformity (process)",$S200="Yes",AND(ISNUMBER($W200),$W200&gt;=Settings!$C$20)),"YES – required","No"))</f>
        <v/>
      </c>
      <c r="AF200" s="33"/>
      <c r="AG200" s="33"/>
      <c r="AH200" s="32"/>
      <c r="AI200" s="33"/>
      <c r="AJ200" s="32"/>
      <c r="AK200" s="31" t="str">
        <f aca="false">IF(OR($B200="",$AJ200=""),"",$AJ200-$B200)</f>
        <v/>
      </c>
      <c r="AL200" s="31" t="str">
        <f aca="false">IF($X200="","",INDEX(Settings!$C$15:$C$17,MATCH($X200,Settings!$B$15:$B$17,0)))</f>
        <v/>
      </c>
      <c r="AM200" s="36" t="str">
        <f aca="true">IF($B200="","",IF($AH200="","No due date",IF($AI200="Closed",IF($AJ200="","Missing close date",IF($AJ200&lt;=$AH200,"On time","Late")),IF(TODAY()&gt;$AH200,"OVERDUE","In progress"))))</f>
        <v/>
      </c>
      <c r="AN200" s="35"/>
    </row>
    <row r="201" customFormat="false" ht="27.75" hidden="false" customHeight="true" outlineLevel="0" collapsed="false">
      <c r="A201" s="31" t="str">
        <f aca="false">IF($B201="","",ROW()-4)</f>
        <v/>
      </c>
      <c r="B201" s="32"/>
      <c r="C201" s="32"/>
      <c r="D201" s="33"/>
      <c r="E201" s="33"/>
      <c r="F201" s="33"/>
      <c r="G201" s="34"/>
      <c r="H201" s="33"/>
      <c r="I201" s="33"/>
      <c r="J201" s="33"/>
      <c r="K201" s="33"/>
      <c r="L201" s="35"/>
      <c r="M201" s="33"/>
      <c r="N201" s="33"/>
      <c r="O201" s="33"/>
      <c r="P201" s="33"/>
      <c r="Q201" s="35"/>
      <c r="R201" s="33"/>
      <c r="S201" s="33"/>
      <c r="T201" s="33"/>
      <c r="U201" s="33"/>
      <c r="V201" s="33"/>
      <c r="W201" s="31" t="str">
        <f aca="false">IF(OR($T201="",$U201="",$V201=""),"",$T201*$U201*$V201)</f>
        <v/>
      </c>
      <c r="X201" s="36" t="str">
        <f aca="false">IF($W201="","",IF($T201=5,"High",IF($W201&gt;=Settings!$C$20,"High",IF(OR($W201&gt;=Settings!$C$21,$T201=4),"Medium","Low"))))</f>
        <v/>
      </c>
      <c r="Y201" s="34"/>
      <c r="Z201" s="37" t="str">
        <f aca="false">IF($O201="","",$O201*Settings!$C$5)</f>
        <v/>
      </c>
      <c r="AA201" s="37" t="n">
        <f aca="false">IF(OR($H201&lt;&gt;"Complaint",$P201&lt;&gt;"Upheld",$T201=""),0,IF($G201="",Settings!$C$6,$G201)*INDEX(Settings!$C$8:$C$12,6-$T201))</f>
        <v>0</v>
      </c>
      <c r="AB201" s="37" t="str">
        <f aca="false">IF($B201="","",IF($Y201="",0,$Y201)+IF($Z201="",0,$Z201)+IF($AA201="",0,$AA201))</f>
        <v/>
      </c>
      <c r="AC201" s="35"/>
      <c r="AD201" s="33"/>
      <c r="AE201" s="36" t="str">
        <f aca="false">IF($B201="","",IF(OR($H201="Nonconformity (process)",$S201="Yes",AND(ISNUMBER($W201),$W201&gt;=Settings!$C$20)),"YES – required","No"))</f>
        <v/>
      </c>
      <c r="AF201" s="33"/>
      <c r="AG201" s="33"/>
      <c r="AH201" s="32"/>
      <c r="AI201" s="33"/>
      <c r="AJ201" s="32"/>
      <c r="AK201" s="31" t="str">
        <f aca="false">IF(OR($B201="",$AJ201=""),"",$AJ201-$B201)</f>
        <v/>
      </c>
      <c r="AL201" s="31" t="str">
        <f aca="false">IF($X201="","",INDEX(Settings!$C$15:$C$17,MATCH($X201,Settings!$B$15:$B$17,0)))</f>
        <v/>
      </c>
      <c r="AM201" s="36" t="str">
        <f aca="true">IF($B201="","",IF($AH201="","No due date",IF($AI201="Closed",IF($AJ201="","Missing close date",IF($AJ201&lt;=$AH201,"On time","Late")),IF(TODAY()&gt;$AH201,"OVERDUE","In progress"))))</f>
        <v/>
      </c>
      <c r="AN201" s="35"/>
    </row>
    <row r="202" customFormat="false" ht="27.75" hidden="false" customHeight="true" outlineLevel="0" collapsed="false">
      <c r="A202" s="31" t="str">
        <f aca="false">IF($B202="","",ROW()-4)</f>
        <v/>
      </c>
      <c r="B202" s="32"/>
      <c r="C202" s="32"/>
      <c r="D202" s="33"/>
      <c r="E202" s="33"/>
      <c r="F202" s="33"/>
      <c r="G202" s="34"/>
      <c r="H202" s="33"/>
      <c r="I202" s="33"/>
      <c r="J202" s="33"/>
      <c r="K202" s="33"/>
      <c r="L202" s="35"/>
      <c r="M202" s="33"/>
      <c r="N202" s="33"/>
      <c r="O202" s="33"/>
      <c r="P202" s="33"/>
      <c r="Q202" s="35"/>
      <c r="R202" s="33"/>
      <c r="S202" s="33"/>
      <c r="T202" s="33"/>
      <c r="U202" s="33"/>
      <c r="V202" s="33"/>
      <c r="W202" s="31" t="str">
        <f aca="false">IF(OR($T202="",$U202="",$V202=""),"",$T202*$U202*$V202)</f>
        <v/>
      </c>
      <c r="X202" s="36" t="str">
        <f aca="false">IF($W202="","",IF($T202=5,"High",IF($W202&gt;=Settings!$C$20,"High",IF(OR($W202&gt;=Settings!$C$21,$T202=4),"Medium","Low"))))</f>
        <v/>
      </c>
      <c r="Y202" s="34"/>
      <c r="Z202" s="37" t="str">
        <f aca="false">IF($O202="","",$O202*Settings!$C$5)</f>
        <v/>
      </c>
      <c r="AA202" s="37" t="n">
        <f aca="false">IF(OR($H202&lt;&gt;"Complaint",$P202&lt;&gt;"Upheld",$T202=""),0,IF($G202="",Settings!$C$6,$G202)*INDEX(Settings!$C$8:$C$12,6-$T202))</f>
        <v>0</v>
      </c>
      <c r="AB202" s="37" t="str">
        <f aca="false">IF($B202="","",IF($Y202="",0,$Y202)+IF($Z202="",0,$Z202)+IF($AA202="",0,$AA202))</f>
        <v/>
      </c>
      <c r="AC202" s="35"/>
      <c r="AD202" s="33"/>
      <c r="AE202" s="36" t="str">
        <f aca="false">IF($B202="","",IF(OR($H202="Nonconformity (process)",$S202="Yes",AND(ISNUMBER($W202),$W202&gt;=Settings!$C$20)),"YES – required","No"))</f>
        <v/>
      </c>
      <c r="AF202" s="33"/>
      <c r="AG202" s="33"/>
      <c r="AH202" s="32"/>
      <c r="AI202" s="33"/>
      <c r="AJ202" s="32"/>
      <c r="AK202" s="31" t="str">
        <f aca="false">IF(OR($B202="",$AJ202=""),"",$AJ202-$B202)</f>
        <v/>
      </c>
      <c r="AL202" s="31" t="str">
        <f aca="false">IF($X202="","",INDEX(Settings!$C$15:$C$17,MATCH($X202,Settings!$B$15:$B$17,0)))</f>
        <v/>
      </c>
      <c r="AM202" s="36" t="str">
        <f aca="true">IF($B202="","",IF($AH202="","No due date",IF($AI202="Closed",IF($AJ202="","Missing close date",IF($AJ202&lt;=$AH202,"On time","Late")),IF(TODAY()&gt;$AH202,"OVERDUE","In progress"))))</f>
        <v/>
      </c>
      <c r="AN202" s="35"/>
    </row>
    <row r="203" customFormat="false" ht="27.75" hidden="false" customHeight="true" outlineLevel="0" collapsed="false">
      <c r="A203" s="31" t="str">
        <f aca="false">IF($B203="","",ROW()-4)</f>
        <v/>
      </c>
      <c r="B203" s="32"/>
      <c r="C203" s="32"/>
      <c r="D203" s="33"/>
      <c r="E203" s="33"/>
      <c r="F203" s="33"/>
      <c r="G203" s="34"/>
      <c r="H203" s="33"/>
      <c r="I203" s="33"/>
      <c r="J203" s="33"/>
      <c r="K203" s="33"/>
      <c r="L203" s="35"/>
      <c r="M203" s="33"/>
      <c r="N203" s="33"/>
      <c r="O203" s="33"/>
      <c r="P203" s="33"/>
      <c r="Q203" s="35"/>
      <c r="R203" s="33"/>
      <c r="S203" s="33"/>
      <c r="T203" s="33"/>
      <c r="U203" s="33"/>
      <c r="V203" s="33"/>
      <c r="W203" s="31" t="str">
        <f aca="false">IF(OR($T203="",$U203="",$V203=""),"",$T203*$U203*$V203)</f>
        <v/>
      </c>
      <c r="X203" s="36" t="str">
        <f aca="false">IF($W203="","",IF($T203=5,"High",IF($W203&gt;=Settings!$C$20,"High",IF(OR($W203&gt;=Settings!$C$21,$T203=4),"Medium","Low"))))</f>
        <v/>
      </c>
      <c r="Y203" s="34"/>
      <c r="Z203" s="37" t="str">
        <f aca="false">IF($O203="","",$O203*Settings!$C$5)</f>
        <v/>
      </c>
      <c r="AA203" s="37" t="n">
        <f aca="false">IF(OR($H203&lt;&gt;"Complaint",$P203&lt;&gt;"Upheld",$T203=""),0,IF($G203="",Settings!$C$6,$G203)*INDEX(Settings!$C$8:$C$12,6-$T203))</f>
        <v>0</v>
      </c>
      <c r="AB203" s="37" t="str">
        <f aca="false">IF($B203="","",IF($Y203="",0,$Y203)+IF($Z203="",0,$Z203)+IF($AA203="",0,$AA203))</f>
        <v/>
      </c>
      <c r="AC203" s="35"/>
      <c r="AD203" s="33"/>
      <c r="AE203" s="36" t="str">
        <f aca="false">IF($B203="","",IF(OR($H203="Nonconformity (process)",$S203="Yes",AND(ISNUMBER($W203),$W203&gt;=Settings!$C$20)),"YES – required","No"))</f>
        <v/>
      </c>
      <c r="AF203" s="33"/>
      <c r="AG203" s="33"/>
      <c r="AH203" s="32"/>
      <c r="AI203" s="33"/>
      <c r="AJ203" s="32"/>
      <c r="AK203" s="31" t="str">
        <f aca="false">IF(OR($B203="",$AJ203=""),"",$AJ203-$B203)</f>
        <v/>
      </c>
      <c r="AL203" s="31" t="str">
        <f aca="false">IF($X203="","",INDEX(Settings!$C$15:$C$17,MATCH($X203,Settings!$B$15:$B$17,0)))</f>
        <v/>
      </c>
      <c r="AM203" s="36" t="str">
        <f aca="true">IF($B203="","",IF($AH203="","No due date",IF($AI203="Closed",IF($AJ203="","Missing close date",IF($AJ203&lt;=$AH203,"On time","Late")),IF(TODAY()&gt;$AH203,"OVERDUE","In progress"))))</f>
        <v/>
      </c>
      <c r="AN203" s="35"/>
    </row>
    <row r="204" customFormat="false" ht="27.75" hidden="false" customHeight="true" outlineLevel="0" collapsed="false">
      <c r="A204" s="31" t="str">
        <f aca="false">IF($B204="","",ROW()-4)</f>
        <v/>
      </c>
      <c r="B204" s="32"/>
      <c r="C204" s="32"/>
      <c r="D204" s="33"/>
      <c r="E204" s="33"/>
      <c r="F204" s="33"/>
      <c r="G204" s="34"/>
      <c r="H204" s="33"/>
      <c r="I204" s="33"/>
      <c r="J204" s="33"/>
      <c r="K204" s="33"/>
      <c r="L204" s="35"/>
      <c r="M204" s="33"/>
      <c r="N204" s="33"/>
      <c r="O204" s="33"/>
      <c r="P204" s="33"/>
      <c r="Q204" s="35"/>
      <c r="R204" s="33"/>
      <c r="S204" s="33"/>
      <c r="T204" s="33"/>
      <c r="U204" s="33"/>
      <c r="V204" s="33"/>
      <c r="W204" s="31" t="str">
        <f aca="false">IF(OR($T204="",$U204="",$V204=""),"",$T204*$U204*$V204)</f>
        <v/>
      </c>
      <c r="X204" s="36" t="str">
        <f aca="false">IF($W204="","",IF($T204=5,"High",IF($W204&gt;=Settings!$C$20,"High",IF(OR($W204&gt;=Settings!$C$21,$T204=4),"Medium","Low"))))</f>
        <v/>
      </c>
      <c r="Y204" s="34"/>
      <c r="Z204" s="37" t="str">
        <f aca="false">IF($O204="","",$O204*Settings!$C$5)</f>
        <v/>
      </c>
      <c r="AA204" s="37" t="n">
        <f aca="false">IF(OR($H204&lt;&gt;"Complaint",$P204&lt;&gt;"Upheld",$T204=""),0,IF($G204="",Settings!$C$6,$G204)*INDEX(Settings!$C$8:$C$12,6-$T204))</f>
        <v>0</v>
      </c>
      <c r="AB204" s="37" t="str">
        <f aca="false">IF($B204="","",IF($Y204="",0,$Y204)+IF($Z204="",0,$Z204)+IF($AA204="",0,$AA204))</f>
        <v/>
      </c>
      <c r="AC204" s="35"/>
      <c r="AD204" s="33"/>
      <c r="AE204" s="36" t="str">
        <f aca="false">IF($B204="","",IF(OR($H204="Nonconformity (process)",$S204="Yes",AND(ISNUMBER($W204),$W204&gt;=Settings!$C$20)),"YES – required","No"))</f>
        <v/>
      </c>
      <c r="AF204" s="33"/>
      <c r="AG204" s="33"/>
      <c r="AH204" s="32"/>
      <c r="AI204" s="33"/>
      <c r="AJ204" s="32"/>
      <c r="AK204" s="31" t="str">
        <f aca="false">IF(OR($B204="",$AJ204=""),"",$AJ204-$B204)</f>
        <v/>
      </c>
      <c r="AL204" s="31" t="str">
        <f aca="false">IF($X204="","",INDEX(Settings!$C$15:$C$17,MATCH($X204,Settings!$B$15:$B$17,0)))</f>
        <v/>
      </c>
      <c r="AM204" s="36" t="str">
        <f aca="true">IF($B204="","",IF($AH204="","No due date",IF($AI204="Closed",IF($AJ204="","Missing close date",IF($AJ204&lt;=$AH204,"On time","Late")),IF(TODAY()&gt;$AH204,"OVERDUE","In progress"))))</f>
        <v/>
      </c>
      <c r="AN204" s="35"/>
    </row>
    <row r="205" customFormat="false" ht="27.75" hidden="false" customHeight="true" outlineLevel="0" collapsed="false">
      <c r="A205" s="31" t="str">
        <f aca="false">IF($B205="","",ROW()-4)</f>
        <v/>
      </c>
      <c r="B205" s="32"/>
      <c r="C205" s="32"/>
      <c r="D205" s="33"/>
      <c r="E205" s="33"/>
      <c r="F205" s="33"/>
      <c r="G205" s="34"/>
      <c r="H205" s="33"/>
      <c r="I205" s="33"/>
      <c r="J205" s="33"/>
      <c r="K205" s="33"/>
      <c r="L205" s="35"/>
      <c r="M205" s="33"/>
      <c r="N205" s="33"/>
      <c r="O205" s="33"/>
      <c r="P205" s="33"/>
      <c r="Q205" s="35"/>
      <c r="R205" s="33"/>
      <c r="S205" s="33"/>
      <c r="T205" s="33"/>
      <c r="U205" s="33"/>
      <c r="V205" s="33"/>
      <c r="W205" s="31" t="str">
        <f aca="false">IF(OR($T205="",$U205="",$V205=""),"",$T205*$U205*$V205)</f>
        <v/>
      </c>
      <c r="X205" s="36" t="str">
        <f aca="false">IF($W205="","",IF($T205=5,"High",IF($W205&gt;=Settings!$C$20,"High",IF(OR($W205&gt;=Settings!$C$21,$T205=4),"Medium","Low"))))</f>
        <v/>
      </c>
      <c r="Y205" s="34"/>
      <c r="Z205" s="37" t="str">
        <f aca="false">IF($O205="","",$O205*Settings!$C$5)</f>
        <v/>
      </c>
      <c r="AA205" s="37" t="n">
        <f aca="false">IF(OR($H205&lt;&gt;"Complaint",$P205&lt;&gt;"Upheld",$T205=""),0,IF($G205="",Settings!$C$6,$G205)*INDEX(Settings!$C$8:$C$12,6-$T205))</f>
        <v>0</v>
      </c>
      <c r="AB205" s="37" t="str">
        <f aca="false">IF($B205="","",IF($Y205="",0,$Y205)+IF($Z205="",0,$Z205)+IF($AA205="",0,$AA205))</f>
        <v/>
      </c>
      <c r="AC205" s="35"/>
      <c r="AD205" s="33"/>
      <c r="AE205" s="36" t="str">
        <f aca="false">IF($B205="","",IF(OR($H205="Nonconformity (process)",$S205="Yes",AND(ISNUMBER($W205),$W205&gt;=Settings!$C$20)),"YES – required","No"))</f>
        <v/>
      </c>
      <c r="AF205" s="33"/>
      <c r="AG205" s="33"/>
      <c r="AH205" s="32"/>
      <c r="AI205" s="33"/>
      <c r="AJ205" s="32"/>
      <c r="AK205" s="31" t="str">
        <f aca="false">IF(OR($B205="",$AJ205=""),"",$AJ205-$B205)</f>
        <v/>
      </c>
      <c r="AL205" s="31" t="str">
        <f aca="false">IF($X205="","",INDEX(Settings!$C$15:$C$17,MATCH($X205,Settings!$B$15:$B$17,0)))</f>
        <v/>
      </c>
      <c r="AM205" s="36" t="str">
        <f aca="true">IF($B205="","",IF($AH205="","No due date",IF($AI205="Closed",IF($AJ205="","Missing close date",IF($AJ205&lt;=$AH205,"On time","Late")),IF(TODAY()&gt;$AH205,"OVERDUE","In progress"))))</f>
        <v/>
      </c>
      <c r="AN205" s="35"/>
    </row>
    <row r="206" customFormat="false" ht="27.75" hidden="false" customHeight="true" outlineLevel="0" collapsed="false">
      <c r="A206" s="31" t="str">
        <f aca="false">IF($B206="","",ROW()-4)</f>
        <v/>
      </c>
      <c r="B206" s="32"/>
      <c r="C206" s="32"/>
      <c r="D206" s="33"/>
      <c r="E206" s="33"/>
      <c r="F206" s="33"/>
      <c r="G206" s="34"/>
      <c r="H206" s="33"/>
      <c r="I206" s="33"/>
      <c r="J206" s="33"/>
      <c r="K206" s="33"/>
      <c r="L206" s="35"/>
      <c r="M206" s="33"/>
      <c r="N206" s="33"/>
      <c r="O206" s="33"/>
      <c r="P206" s="33"/>
      <c r="Q206" s="35"/>
      <c r="R206" s="33"/>
      <c r="S206" s="33"/>
      <c r="T206" s="33"/>
      <c r="U206" s="33"/>
      <c r="V206" s="33"/>
      <c r="W206" s="31" t="str">
        <f aca="false">IF(OR($T206="",$U206="",$V206=""),"",$T206*$U206*$V206)</f>
        <v/>
      </c>
      <c r="X206" s="36" t="str">
        <f aca="false">IF($W206="","",IF($T206=5,"High",IF($W206&gt;=Settings!$C$20,"High",IF(OR($W206&gt;=Settings!$C$21,$T206=4),"Medium","Low"))))</f>
        <v/>
      </c>
      <c r="Y206" s="34"/>
      <c r="Z206" s="37" t="str">
        <f aca="false">IF($O206="","",$O206*Settings!$C$5)</f>
        <v/>
      </c>
      <c r="AA206" s="37" t="n">
        <f aca="false">IF(OR($H206&lt;&gt;"Complaint",$P206&lt;&gt;"Upheld",$T206=""),0,IF($G206="",Settings!$C$6,$G206)*INDEX(Settings!$C$8:$C$12,6-$T206))</f>
        <v>0</v>
      </c>
      <c r="AB206" s="37" t="str">
        <f aca="false">IF($B206="","",IF($Y206="",0,$Y206)+IF($Z206="",0,$Z206)+IF($AA206="",0,$AA206))</f>
        <v/>
      </c>
      <c r="AC206" s="35"/>
      <c r="AD206" s="33"/>
      <c r="AE206" s="36" t="str">
        <f aca="false">IF($B206="","",IF(OR($H206="Nonconformity (process)",$S206="Yes",AND(ISNUMBER($W206),$W206&gt;=Settings!$C$20)),"YES – required","No"))</f>
        <v/>
      </c>
      <c r="AF206" s="33"/>
      <c r="AG206" s="33"/>
      <c r="AH206" s="32"/>
      <c r="AI206" s="33"/>
      <c r="AJ206" s="32"/>
      <c r="AK206" s="31" t="str">
        <f aca="false">IF(OR($B206="",$AJ206=""),"",$AJ206-$B206)</f>
        <v/>
      </c>
      <c r="AL206" s="31" t="str">
        <f aca="false">IF($X206="","",INDEX(Settings!$C$15:$C$17,MATCH($X206,Settings!$B$15:$B$17,0)))</f>
        <v/>
      </c>
      <c r="AM206" s="36" t="str">
        <f aca="true">IF($B206="","",IF($AH206="","No due date",IF($AI206="Closed",IF($AJ206="","Missing close date",IF($AJ206&lt;=$AH206,"On time","Late")),IF(TODAY()&gt;$AH206,"OVERDUE","In progress"))))</f>
        <v/>
      </c>
      <c r="AN206" s="35"/>
    </row>
    <row r="207" customFormat="false" ht="27.75" hidden="false" customHeight="true" outlineLevel="0" collapsed="false">
      <c r="A207" s="31" t="str">
        <f aca="false">IF($B207="","",ROW()-4)</f>
        <v/>
      </c>
      <c r="B207" s="32"/>
      <c r="C207" s="32"/>
      <c r="D207" s="33"/>
      <c r="E207" s="33"/>
      <c r="F207" s="33"/>
      <c r="G207" s="34"/>
      <c r="H207" s="33"/>
      <c r="I207" s="33"/>
      <c r="J207" s="33"/>
      <c r="K207" s="33"/>
      <c r="L207" s="35"/>
      <c r="M207" s="33"/>
      <c r="N207" s="33"/>
      <c r="O207" s="33"/>
      <c r="P207" s="33"/>
      <c r="Q207" s="35"/>
      <c r="R207" s="33"/>
      <c r="S207" s="33"/>
      <c r="T207" s="33"/>
      <c r="U207" s="33"/>
      <c r="V207" s="33"/>
      <c r="W207" s="31" t="str">
        <f aca="false">IF(OR($T207="",$U207="",$V207=""),"",$T207*$U207*$V207)</f>
        <v/>
      </c>
      <c r="X207" s="36" t="str">
        <f aca="false">IF($W207="","",IF($T207=5,"High",IF($W207&gt;=Settings!$C$20,"High",IF(OR($W207&gt;=Settings!$C$21,$T207=4),"Medium","Low"))))</f>
        <v/>
      </c>
      <c r="Y207" s="34"/>
      <c r="Z207" s="37" t="str">
        <f aca="false">IF($O207="","",$O207*Settings!$C$5)</f>
        <v/>
      </c>
      <c r="AA207" s="37" t="n">
        <f aca="false">IF(OR($H207&lt;&gt;"Complaint",$P207&lt;&gt;"Upheld",$T207=""),0,IF($G207="",Settings!$C$6,$G207)*INDEX(Settings!$C$8:$C$12,6-$T207))</f>
        <v>0</v>
      </c>
      <c r="AB207" s="37" t="str">
        <f aca="false">IF($B207="","",IF($Y207="",0,$Y207)+IF($Z207="",0,$Z207)+IF($AA207="",0,$AA207))</f>
        <v/>
      </c>
      <c r="AC207" s="35"/>
      <c r="AD207" s="33"/>
      <c r="AE207" s="36" t="str">
        <f aca="false">IF($B207="","",IF(OR($H207="Nonconformity (process)",$S207="Yes",AND(ISNUMBER($W207),$W207&gt;=Settings!$C$20)),"YES – required","No"))</f>
        <v/>
      </c>
      <c r="AF207" s="33"/>
      <c r="AG207" s="33"/>
      <c r="AH207" s="32"/>
      <c r="AI207" s="33"/>
      <c r="AJ207" s="32"/>
      <c r="AK207" s="31" t="str">
        <f aca="false">IF(OR($B207="",$AJ207=""),"",$AJ207-$B207)</f>
        <v/>
      </c>
      <c r="AL207" s="31" t="str">
        <f aca="false">IF($X207="","",INDEX(Settings!$C$15:$C$17,MATCH($X207,Settings!$B$15:$B$17,0)))</f>
        <v/>
      </c>
      <c r="AM207" s="36" t="str">
        <f aca="true">IF($B207="","",IF($AH207="","No due date",IF($AI207="Closed",IF($AJ207="","Missing close date",IF($AJ207&lt;=$AH207,"On time","Late")),IF(TODAY()&gt;$AH207,"OVERDUE","In progress"))))</f>
        <v/>
      </c>
      <c r="AN207" s="35"/>
    </row>
    <row r="208" customFormat="false" ht="27.75" hidden="false" customHeight="true" outlineLevel="0" collapsed="false">
      <c r="A208" s="31" t="str">
        <f aca="false">IF($B208="","",ROW()-4)</f>
        <v/>
      </c>
      <c r="B208" s="32"/>
      <c r="C208" s="32"/>
      <c r="D208" s="33"/>
      <c r="E208" s="33"/>
      <c r="F208" s="33"/>
      <c r="G208" s="34"/>
      <c r="H208" s="33"/>
      <c r="I208" s="33"/>
      <c r="J208" s="33"/>
      <c r="K208" s="33"/>
      <c r="L208" s="35"/>
      <c r="M208" s="33"/>
      <c r="N208" s="33"/>
      <c r="O208" s="33"/>
      <c r="P208" s="33"/>
      <c r="Q208" s="35"/>
      <c r="R208" s="33"/>
      <c r="S208" s="33"/>
      <c r="T208" s="33"/>
      <c r="U208" s="33"/>
      <c r="V208" s="33"/>
      <c r="W208" s="31" t="str">
        <f aca="false">IF(OR($T208="",$U208="",$V208=""),"",$T208*$U208*$V208)</f>
        <v/>
      </c>
      <c r="X208" s="36" t="str">
        <f aca="false">IF($W208="","",IF($T208=5,"High",IF($W208&gt;=Settings!$C$20,"High",IF(OR($W208&gt;=Settings!$C$21,$T208=4),"Medium","Low"))))</f>
        <v/>
      </c>
      <c r="Y208" s="34"/>
      <c r="Z208" s="37" t="str">
        <f aca="false">IF($O208="","",$O208*Settings!$C$5)</f>
        <v/>
      </c>
      <c r="AA208" s="37" t="n">
        <f aca="false">IF(OR($H208&lt;&gt;"Complaint",$P208&lt;&gt;"Upheld",$T208=""),0,IF($G208="",Settings!$C$6,$G208)*INDEX(Settings!$C$8:$C$12,6-$T208))</f>
        <v>0</v>
      </c>
      <c r="AB208" s="37" t="str">
        <f aca="false">IF($B208="","",IF($Y208="",0,$Y208)+IF($Z208="",0,$Z208)+IF($AA208="",0,$AA208))</f>
        <v/>
      </c>
      <c r="AC208" s="35"/>
      <c r="AD208" s="33"/>
      <c r="AE208" s="36" t="str">
        <f aca="false">IF($B208="","",IF(OR($H208="Nonconformity (process)",$S208="Yes",AND(ISNUMBER($W208),$W208&gt;=Settings!$C$20)),"YES – required","No"))</f>
        <v/>
      </c>
      <c r="AF208" s="33"/>
      <c r="AG208" s="33"/>
      <c r="AH208" s="32"/>
      <c r="AI208" s="33"/>
      <c r="AJ208" s="32"/>
      <c r="AK208" s="31" t="str">
        <f aca="false">IF(OR($B208="",$AJ208=""),"",$AJ208-$B208)</f>
        <v/>
      </c>
      <c r="AL208" s="31" t="str">
        <f aca="false">IF($X208="","",INDEX(Settings!$C$15:$C$17,MATCH($X208,Settings!$B$15:$B$17,0)))</f>
        <v/>
      </c>
      <c r="AM208" s="36" t="str">
        <f aca="true">IF($B208="","",IF($AH208="","No due date",IF($AI208="Closed",IF($AJ208="","Missing close date",IF($AJ208&lt;=$AH208,"On time","Late")),IF(TODAY()&gt;$AH208,"OVERDUE","In progress"))))</f>
        <v/>
      </c>
      <c r="AN208" s="35"/>
    </row>
    <row r="209" customFormat="false" ht="27.75" hidden="false" customHeight="true" outlineLevel="0" collapsed="false">
      <c r="A209" s="31" t="str">
        <f aca="false">IF($B209="","",ROW()-4)</f>
        <v/>
      </c>
      <c r="B209" s="32"/>
      <c r="C209" s="32"/>
      <c r="D209" s="33"/>
      <c r="E209" s="33"/>
      <c r="F209" s="33"/>
      <c r="G209" s="34"/>
      <c r="H209" s="33"/>
      <c r="I209" s="33"/>
      <c r="J209" s="33"/>
      <c r="K209" s="33"/>
      <c r="L209" s="35"/>
      <c r="M209" s="33"/>
      <c r="N209" s="33"/>
      <c r="O209" s="33"/>
      <c r="P209" s="33"/>
      <c r="Q209" s="35"/>
      <c r="R209" s="33"/>
      <c r="S209" s="33"/>
      <c r="T209" s="33"/>
      <c r="U209" s="33"/>
      <c r="V209" s="33"/>
      <c r="W209" s="31" t="str">
        <f aca="false">IF(OR($T209="",$U209="",$V209=""),"",$T209*$U209*$V209)</f>
        <v/>
      </c>
      <c r="X209" s="36" t="str">
        <f aca="false">IF($W209="","",IF($T209=5,"High",IF($W209&gt;=Settings!$C$20,"High",IF(OR($W209&gt;=Settings!$C$21,$T209=4),"Medium","Low"))))</f>
        <v/>
      </c>
      <c r="Y209" s="34"/>
      <c r="Z209" s="37" t="str">
        <f aca="false">IF($O209="","",$O209*Settings!$C$5)</f>
        <v/>
      </c>
      <c r="AA209" s="37" t="n">
        <f aca="false">IF(OR($H209&lt;&gt;"Complaint",$P209&lt;&gt;"Upheld",$T209=""),0,IF($G209="",Settings!$C$6,$G209)*INDEX(Settings!$C$8:$C$12,6-$T209))</f>
        <v>0</v>
      </c>
      <c r="AB209" s="37" t="str">
        <f aca="false">IF($B209="","",IF($Y209="",0,$Y209)+IF($Z209="",0,$Z209)+IF($AA209="",0,$AA209))</f>
        <v/>
      </c>
      <c r="AC209" s="35"/>
      <c r="AD209" s="33"/>
      <c r="AE209" s="36" t="str">
        <f aca="false">IF($B209="","",IF(OR($H209="Nonconformity (process)",$S209="Yes",AND(ISNUMBER($W209),$W209&gt;=Settings!$C$20)),"YES – required","No"))</f>
        <v/>
      </c>
      <c r="AF209" s="33"/>
      <c r="AG209" s="33"/>
      <c r="AH209" s="32"/>
      <c r="AI209" s="33"/>
      <c r="AJ209" s="32"/>
      <c r="AK209" s="31" t="str">
        <f aca="false">IF(OR($B209="",$AJ209=""),"",$AJ209-$B209)</f>
        <v/>
      </c>
      <c r="AL209" s="31" t="str">
        <f aca="false">IF($X209="","",INDEX(Settings!$C$15:$C$17,MATCH($X209,Settings!$B$15:$B$17,0)))</f>
        <v/>
      </c>
      <c r="AM209" s="36" t="str">
        <f aca="true">IF($B209="","",IF($AH209="","No due date",IF($AI209="Closed",IF($AJ209="","Missing close date",IF($AJ209&lt;=$AH209,"On time","Late")),IF(TODAY()&gt;$AH209,"OVERDUE","In progress"))))</f>
        <v/>
      </c>
      <c r="AN209" s="35"/>
    </row>
    <row r="210" customFormat="false" ht="27.75" hidden="false" customHeight="true" outlineLevel="0" collapsed="false">
      <c r="A210" s="31" t="str">
        <f aca="false">IF($B210="","",ROW()-4)</f>
        <v/>
      </c>
      <c r="B210" s="32"/>
      <c r="C210" s="32"/>
      <c r="D210" s="33"/>
      <c r="E210" s="33"/>
      <c r="F210" s="33"/>
      <c r="G210" s="34"/>
      <c r="H210" s="33"/>
      <c r="I210" s="33"/>
      <c r="J210" s="33"/>
      <c r="K210" s="33"/>
      <c r="L210" s="35"/>
      <c r="M210" s="33"/>
      <c r="N210" s="33"/>
      <c r="O210" s="33"/>
      <c r="P210" s="33"/>
      <c r="Q210" s="35"/>
      <c r="R210" s="33"/>
      <c r="S210" s="33"/>
      <c r="T210" s="33"/>
      <c r="U210" s="33"/>
      <c r="V210" s="33"/>
      <c r="W210" s="31" t="str">
        <f aca="false">IF(OR($T210="",$U210="",$V210=""),"",$T210*$U210*$V210)</f>
        <v/>
      </c>
      <c r="X210" s="36" t="str">
        <f aca="false">IF($W210="","",IF($T210=5,"High",IF($W210&gt;=Settings!$C$20,"High",IF(OR($W210&gt;=Settings!$C$21,$T210=4),"Medium","Low"))))</f>
        <v/>
      </c>
      <c r="Y210" s="34"/>
      <c r="Z210" s="37" t="str">
        <f aca="false">IF($O210="","",$O210*Settings!$C$5)</f>
        <v/>
      </c>
      <c r="AA210" s="37" t="n">
        <f aca="false">IF(OR($H210&lt;&gt;"Complaint",$P210&lt;&gt;"Upheld",$T210=""),0,IF($G210="",Settings!$C$6,$G210)*INDEX(Settings!$C$8:$C$12,6-$T210))</f>
        <v>0</v>
      </c>
      <c r="AB210" s="37" t="str">
        <f aca="false">IF($B210="","",IF($Y210="",0,$Y210)+IF($Z210="",0,$Z210)+IF($AA210="",0,$AA210))</f>
        <v/>
      </c>
      <c r="AC210" s="35"/>
      <c r="AD210" s="33"/>
      <c r="AE210" s="36" t="str">
        <f aca="false">IF($B210="","",IF(OR($H210="Nonconformity (process)",$S210="Yes",AND(ISNUMBER($W210),$W210&gt;=Settings!$C$20)),"YES – required","No"))</f>
        <v/>
      </c>
      <c r="AF210" s="33"/>
      <c r="AG210" s="33"/>
      <c r="AH210" s="32"/>
      <c r="AI210" s="33"/>
      <c r="AJ210" s="32"/>
      <c r="AK210" s="31" t="str">
        <f aca="false">IF(OR($B210="",$AJ210=""),"",$AJ210-$B210)</f>
        <v/>
      </c>
      <c r="AL210" s="31" t="str">
        <f aca="false">IF($X210="","",INDEX(Settings!$C$15:$C$17,MATCH($X210,Settings!$B$15:$B$17,0)))</f>
        <v/>
      </c>
      <c r="AM210" s="36" t="str">
        <f aca="true">IF($B210="","",IF($AH210="","No due date",IF($AI210="Closed",IF($AJ210="","Missing close date",IF($AJ210&lt;=$AH210,"On time","Late")),IF(TODAY()&gt;$AH210,"OVERDUE","In progress"))))</f>
        <v/>
      </c>
      <c r="AN210" s="35"/>
    </row>
    <row r="211" customFormat="false" ht="27.75" hidden="false" customHeight="true" outlineLevel="0" collapsed="false">
      <c r="A211" s="31" t="str">
        <f aca="false">IF($B211="","",ROW()-4)</f>
        <v/>
      </c>
      <c r="B211" s="32"/>
      <c r="C211" s="32"/>
      <c r="D211" s="33"/>
      <c r="E211" s="33"/>
      <c r="F211" s="33"/>
      <c r="G211" s="34"/>
      <c r="H211" s="33"/>
      <c r="I211" s="33"/>
      <c r="J211" s="33"/>
      <c r="K211" s="33"/>
      <c r="L211" s="35"/>
      <c r="M211" s="33"/>
      <c r="N211" s="33"/>
      <c r="O211" s="33"/>
      <c r="P211" s="33"/>
      <c r="Q211" s="35"/>
      <c r="R211" s="33"/>
      <c r="S211" s="33"/>
      <c r="T211" s="33"/>
      <c r="U211" s="33"/>
      <c r="V211" s="33"/>
      <c r="W211" s="31" t="str">
        <f aca="false">IF(OR($T211="",$U211="",$V211=""),"",$T211*$U211*$V211)</f>
        <v/>
      </c>
      <c r="X211" s="36" t="str">
        <f aca="false">IF($W211="","",IF($T211=5,"High",IF($W211&gt;=Settings!$C$20,"High",IF(OR($W211&gt;=Settings!$C$21,$T211=4),"Medium","Low"))))</f>
        <v/>
      </c>
      <c r="Y211" s="34"/>
      <c r="Z211" s="37" t="str">
        <f aca="false">IF($O211="","",$O211*Settings!$C$5)</f>
        <v/>
      </c>
      <c r="AA211" s="37" t="n">
        <f aca="false">IF(OR($H211&lt;&gt;"Complaint",$P211&lt;&gt;"Upheld",$T211=""),0,IF($G211="",Settings!$C$6,$G211)*INDEX(Settings!$C$8:$C$12,6-$T211))</f>
        <v>0</v>
      </c>
      <c r="AB211" s="37" t="str">
        <f aca="false">IF($B211="","",IF($Y211="",0,$Y211)+IF($Z211="",0,$Z211)+IF($AA211="",0,$AA211))</f>
        <v/>
      </c>
      <c r="AC211" s="35"/>
      <c r="AD211" s="33"/>
      <c r="AE211" s="36" t="str">
        <f aca="false">IF($B211="","",IF(OR($H211="Nonconformity (process)",$S211="Yes",AND(ISNUMBER($W211),$W211&gt;=Settings!$C$20)),"YES – required","No"))</f>
        <v/>
      </c>
      <c r="AF211" s="33"/>
      <c r="AG211" s="33"/>
      <c r="AH211" s="32"/>
      <c r="AI211" s="33"/>
      <c r="AJ211" s="32"/>
      <c r="AK211" s="31" t="str">
        <f aca="false">IF(OR($B211="",$AJ211=""),"",$AJ211-$B211)</f>
        <v/>
      </c>
      <c r="AL211" s="31" t="str">
        <f aca="false">IF($X211="","",INDEX(Settings!$C$15:$C$17,MATCH($X211,Settings!$B$15:$B$17,0)))</f>
        <v/>
      </c>
      <c r="AM211" s="36" t="str">
        <f aca="true">IF($B211="","",IF($AH211="","No due date",IF($AI211="Closed",IF($AJ211="","Missing close date",IF($AJ211&lt;=$AH211,"On time","Late")),IF(TODAY()&gt;$AH211,"OVERDUE","In progress"))))</f>
        <v/>
      </c>
      <c r="AN211" s="35"/>
    </row>
    <row r="212" customFormat="false" ht="27.75" hidden="false" customHeight="true" outlineLevel="0" collapsed="false">
      <c r="A212" s="31" t="str">
        <f aca="false">IF($B212="","",ROW()-4)</f>
        <v/>
      </c>
      <c r="B212" s="32"/>
      <c r="C212" s="32"/>
      <c r="D212" s="33"/>
      <c r="E212" s="33"/>
      <c r="F212" s="33"/>
      <c r="G212" s="34"/>
      <c r="H212" s="33"/>
      <c r="I212" s="33"/>
      <c r="J212" s="33"/>
      <c r="K212" s="33"/>
      <c r="L212" s="35"/>
      <c r="M212" s="33"/>
      <c r="N212" s="33"/>
      <c r="O212" s="33"/>
      <c r="P212" s="33"/>
      <c r="Q212" s="35"/>
      <c r="R212" s="33"/>
      <c r="S212" s="33"/>
      <c r="T212" s="33"/>
      <c r="U212" s="33"/>
      <c r="V212" s="33"/>
      <c r="W212" s="31" t="str">
        <f aca="false">IF(OR($T212="",$U212="",$V212=""),"",$T212*$U212*$V212)</f>
        <v/>
      </c>
      <c r="X212" s="36" t="str">
        <f aca="false">IF($W212="","",IF($T212=5,"High",IF($W212&gt;=Settings!$C$20,"High",IF(OR($W212&gt;=Settings!$C$21,$T212=4),"Medium","Low"))))</f>
        <v/>
      </c>
      <c r="Y212" s="34"/>
      <c r="Z212" s="37" t="str">
        <f aca="false">IF($O212="","",$O212*Settings!$C$5)</f>
        <v/>
      </c>
      <c r="AA212" s="37" t="n">
        <f aca="false">IF(OR($H212&lt;&gt;"Complaint",$P212&lt;&gt;"Upheld",$T212=""),0,IF($G212="",Settings!$C$6,$G212)*INDEX(Settings!$C$8:$C$12,6-$T212))</f>
        <v>0</v>
      </c>
      <c r="AB212" s="37" t="str">
        <f aca="false">IF($B212="","",IF($Y212="",0,$Y212)+IF($Z212="",0,$Z212)+IF($AA212="",0,$AA212))</f>
        <v/>
      </c>
      <c r="AC212" s="35"/>
      <c r="AD212" s="33"/>
      <c r="AE212" s="36" t="str">
        <f aca="false">IF($B212="","",IF(OR($H212="Nonconformity (process)",$S212="Yes",AND(ISNUMBER($W212),$W212&gt;=Settings!$C$20)),"YES – required","No"))</f>
        <v/>
      </c>
      <c r="AF212" s="33"/>
      <c r="AG212" s="33"/>
      <c r="AH212" s="32"/>
      <c r="AI212" s="33"/>
      <c r="AJ212" s="32"/>
      <c r="AK212" s="31" t="str">
        <f aca="false">IF(OR($B212="",$AJ212=""),"",$AJ212-$B212)</f>
        <v/>
      </c>
      <c r="AL212" s="31" t="str">
        <f aca="false">IF($X212="","",INDEX(Settings!$C$15:$C$17,MATCH($X212,Settings!$B$15:$B$17,0)))</f>
        <v/>
      </c>
      <c r="AM212" s="36" t="str">
        <f aca="true">IF($B212="","",IF($AH212="","No due date",IF($AI212="Closed",IF($AJ212="","Missing close date",IF($AJ212&lt;=$AH212,"On time","Late")),IF(TODAY()&gt;$AH212,"OVERDUE","In progress"))))</f>
        <v/>
      </c>
      <c r="AN212" s="35"/>
    </row>
    <row r="213" customFormat="false" ht="27.75" hidden="false" customHeight="true" outlineLevel="0" collapsed="false">
      <c r="A213" s="31" t="str">
        <f aca="false">IF($B213="","",ROW()-4)</f>
        <v/>
      </c>
      <c r="B213" s="32"/>
      <c r="C213" s="32"/>
      <c r="D213" s="33"/>
      <c r="E213" s="33"/>
      <c r="F213" s="33"/>
      <c r="G213" s="34"/>
      <c r="H213" s="33"/>
      <c r="I213" s="33"/>
      <c r="J213" s="33"/>
      <c r="K213" s="33"/>
      <c r="L213" s="35"/>
      <c r="M213" s="33"/>
      <c r="N213" s="33"/>
      <c r="O213" s="33"/>
      <c r="P213" s="33"/>
      <c r="Q213" s="35"/>
      <c r="R213" s="33"/>
      <c r="S213" s="33"/>
      <c r="T213" s="33"/>
      <c r="U213" s="33"/>
      <c r="V213" s="33"/>
      <c r="W213" s="31" t="str">
        <f aca="false">IF(OR($T213="",$U213="",$V213=""),"",$T213*$U213*$V213)</f>
        <v/>
      </c>
      <c r="X213" s="36" t="str">
        <f aca="false">IF($W213="","",IF($T213=5,"High",IF($W213&gt;=Settings!$C$20,"High",IF(OR($W213&gt;=Settings!$C$21,$T213=4),"Medium","Low"))))</f>
        <v/>
      </c>
      <c r="Y213" s="34"/>
      <c r="Z213" s="37" t="str">
        <f aca="false">IF($O213="","",$O213*Settings!$C$5)</f>
        <v/>
      </c>
      <c r="AA213" s="37" t="n">
        <f aca="false">IF(OR($H213&lt;&gt;"Complaint",$P213&lt;&gt;"Upheld",$T213=""),0,IF($G213="",Settings!$C$6,$G213)*INDEX(Settings!$C$8:$C$12,6-$T213))</f>
        <v>0</v>
      </c>
      <c r="AB213" s="37" t="str">
        <f aca="false">IF($B213="","",IF($Y213="",0,$Y213)+IF($Z213="",0,$Z213)+IF($AA213="",0,$AA213))</f>
        <v/>
      </c>
      <c r="AC213" s="35"/>
      <c r="AD213" s="33"/>
      <c r="AE213" s="36" t="str">
        <f aca="false">IF($B213="","",IF(OR($H213="Nonconformity (process)",$S213="Yes",AND(ISNUMBER($W213),$W213&gt;=Settings!$C$20)),"YES – required","No"))</f>
        <v/>
      </c>
      <c r="AF213" s="33"/>
      <c r="AG213" s="33"/>
      <c r="AH213" s="32"/>
      <c r="AI213" s="33"/>
      <c r="AJ213" s="32"/>
      <c r="AK213" s="31" t="str">
        <f aca="false">IF(OR($B213="",$AJ213=""),"",$AJ213-$B213)</f>
        <v/>
      </c>
      <c r="AL213" s="31" t="str">
        <f aca="false">IF($X213="","",INDEX(Settings!$C$15:$C$17,MATCH($X213,Settings!$B$15:$B$17,0)))</f>
        <v/>
      </c>
      <c r="AM213" s="36" t="str">
        <f aca="true">IF($B213="","",IF($AH213="","No due date",IF($AI213="Closed",IF($AJ213="","Missing close date",IF($AJ213&lt;=$AH213,"On time","Late")),IF(TODAY()&gt;$AH213,"OVERDUE","In progress"))))</f>
        <v/>
      </c>
      <c r="AN213" s="35"/>
    </row>
    <row r="214" customFormat="false" ht="27.75" hidden="false" customHeight="true" outlineLevel="0" collapsed="false">
      <c r="A214" s="31" t="str">
        <f aca="false">IF($B214="","",ROW()-4)</f>
        <v/>
      </c>
      <c r="B214" s="32"/>
      <c r="C214" s="32"/>
      <c r="D214" s="33"/>
      <c r="E214" s="33"/>
      <c r="F214" s="33"/>
      <c r="G214" s="34"/>
      <c r="H214" s="33"/>
      <c r="I214" s="33"/>
      <c r="J214" s="33"/>
      <c r="K214" s="33"/>
      <c r="L214" s="35"/>
      <c r="M214" s="33"/>
      <c r="N214" s="33"/>
      <c r="O214" s="33"/>
      <c r="P214" s="33"/>
      <c r="Q214" s="35"/>
      <c r="R214" s="33"/>
      <c r="S214" s="33"/>
      <c r="T214" s="33"/>
      <c r="U214" s="33"/>
      <c r="V214" s="33"/>
      <c r="W214" s="31" t="str">
        <f aca="false">IF(OR($T214="",$U214="",$V214=""),"",$T214*$U214*$V214)</f>
        <v/>
      </c>
      <c r="X214" s="36" t="str">
        <f aca="false">IF($W214="","",IF($T214=5,"High",IF($W214&gt;=Settings!$C$20,"High",IF(OR($W214&gt;=Settings!$C$21,$T214=4),"Medium","Low"))))</f>
        <v/>
      </c>
      <c r="Y214" s="34"/>
      <c r="Z214" s="37" t="str">
        <f aca="false">IF($O214="","",$O214*Settings!$C$5)</f>
        <v/>
      </c>
      <c r="AA214" s="37" t="n">
        <f aca="false">IF(OR($H214&lt;&gt;"Complaint",$P214&lt;&gt;"Upheld",$T214=""),0,IF($G214="",Settings!$C$6,$G214)*INDEX(Settings!$C$8:$C$12,6-$T214))</f>
        <v>0</v>
      </c>
      <c r="AB214" s="37" t="str">
        <f aca="false">IF($B214="","",IF($Y214="",0,$Y214)+IF($Z214="",0,$Z214)+IF($AA214="",0,$AA214))</f>
        <v/>
      </c>
      <c r="AC214" s="35"/>
      <c r="AD214" s="33"/>
      <c r="AE214" s="36" t="str">
        <f aca="false">IF($B214="","",IF(OR($H214="Nonconformity (process)",$S214="Yes",AND(ISNUMBER($W214),$W214&gt;=Settings!$C$20)),"YES – required","No"))</f>
        <v/>
      </c>
      <c r="AF214" s="33"/>
      <c r="AG214" s="33"/>
      <c r="AH214" s="32"/>
      <c r="AI214" s="33"/>
      <c r="AJ214" s="32"/>
      <c r="AK214" s="31" t="str">
        <f aca="false">IF(OR($B214="",$AJ214=""),"",$AJ214-$B214)</f>
        <v/>
      </c>
      <c r="AL214" s="31" t="str">
        <f aca="false">IF($X214="","",INDEX(Settings!$C$15:$C$17,MATCH($X214,Settings!$B$15:$B$17,0)))</f>
        <v/>
      </c>
      <c r="AM214" s="36" t="str">
        <f aca="true">IF($B214="","",IF($AH214="","No due date",IF($AI214="Closed",IF($AJ214="","Missing close date",IF($AJ214&lt;=$AH214,"On time","Late")),IF(TODAY()&gt;$AH214,"OVERDUE","In progress"))))</f>
        <v/>
      </c>
      <c r="AN214" s="35"/>
    </row>
    <row r="215" customFormat="false" ht="27.75" hidden="false" customHeight="true" outlineLevel="0" collapsed="false">
      <c r="A215" s="31" t="str">
        <f aca="false">IF($B215="","",ROW()-4)</f>
        <v/>
      </c>
      <c r="B215" s="32"/>
      <c r="C215" s="32"/>
      <c r="D215" s="33"/>
      <c r="E215" s="33"/>
      <c r="F215" s="33"/>
      <c r="G215" s="34"/>
      <c r="H215" s="33"/>
      <c r="I215" s="33"/>
      <c r="J215" s="33"/>
      <c r="K215" s="33"/>
      <c r="L215" s="35"/>
      <c r="M215" s="33"/>
      <c r="N215" s="33"/>
      <c r="O215" s="33"/>
      <c r="P215" s="33"/>
      <c r="Q215" s="35"/>
      <c r="R215" s="33"/>
      <c r="S215" s="33"/>
      <c r="T215" s="33"/>
      <c r="U215" s="33"/>
      <c r="V215" s="33"/>
      <c r="W215" s="31" t="str">
        <f aca="false">IF(OR($T215="",$U215="",$V215=""),"",$T215*$U215*$V215)</f>
        <v/>
      </c>
      <c r="X215" s="36" t="str">
        <f aca="false">IF($W215="","",IF($T215=5,"High",IF($W215&gt;=Settings!$C$20,"High",IF(OR($W215&gt;=Settings!$C$21,$T215=4),"Medium","Low"))))</f>
        <v/>
      </c>
      <c r="Y215" s="34"/>
      <c r="Z215" s="37" t="str">
        <f aca="false">IF($O215="","",$O215*Settings!$C$5)</f>
        <v/>
      </c>
      <c r="AA215" s="37" t="n">
        <f aca="false">IF(OR($H215&lt;&gt;"Complaint",$P215&lt;&gt;"Upheld",$T215=""),0,IF($G215="",Settings!$C$6,$G215)*INDEX(Settings!$C$8:$C$12,6-$T215))</f>
        <v>0</v>
      </c>
      <c r="AB215" s="37" t="str">
        <f aca="false">IF($B215="","",IF($Y215="",0,$Y215)+IF($Z215="",0,$Z215)+IF($AA215="",0,$AA215))</f>
        <v/>
      </c>
      <c r="AC215" s="35"/>
      <c r="AD215" s="33"/>
      <c r="AE215" s="36" t="str">
        <f aca="false">IF($B215="","",IF(OR($H215="Nonconformity (process)",$S215="Yes",AND(ISNUMBER($W215),$W215&gt;=Settings!$C$20)),"YES – required","No"))</f>
        <v/>
      </c>
      <c r="AF215" s="33"/>
      <c r="AG215" s="33"/>
      <c r="AH215" s="32"/>
      <c r="AI215" s="33"/>
      <c r="AJ215" s="32"/>
      <c r="AK215" s="31" t="str">
        <f aca="false">IF(OR($B215="",$AJ215=""),"",$AJ215-$B215)</f>
        <v/>
      </c>
      <c r="AL215" s="31" t="str">
        <f aca="false">IF($X215="","",INDEX(Settings!$C$15:$C$17,MATCH($X215,Settings!$B$15:$B$17,0)))</f>
        <v/>
      </c>
      <c r="AM215" s="36" t="str">
        <f aca="true">IF($B215="","",IF($AH215="","No due date",IF($AI215="Closed",IF($AJ215="","Missing close date",IF($AJ215&lt;=$AH215,"On time","Late")),IF(TODAY()&gt;$AH215,"OVERDUE","In progress"))))</f>
        <v/>
      </c>
      <c r="AN215" s="35"/>
    </row>
    <row r="216" customFormat="false" ht="27.75" hidden="false" customHeight="true" outlineLevel="0" collapsed="false">
      <c r="A216" s="31" t="str">
        <f aca="false">IF($B216="","",ROW()-4)</f>
        <v/>
      </c>
      <c r="B216" s="32"/>
      <c r="C216" s="32"/>
      <c r="D216" s="33"/>
      <c r="E216" s="33"/>
      <c r="F216" s="33"/>
      <c r="G216" s="34"/>
      <c r="H216" s="33"/>
      <c r="I216" s="33"/>
      <c r="J216" s="33"/>
      <c r="K216" s="33"/>
      <c r="L216" s="35"/>
      <c r="M216" s="33"/>
      <c r="N216" s="33"/>
      <c r="O216" s="33"/>
      <c r="P216" s="33"/>
      <c r="Q216" s="35"/>
      <c r="R216" s="33"/>
      <c r="S216" s="33"/>
      <c r="T216" s="33"/>
      <c r="U216" s="33"/>
      <c r="V216" s="33"/>
      <c r="W216" s="31" t="str">
        <f aca="false">IF(OR($T216="",$U216="",$V216=""),"",$T216*$U216*$V216)</f>
        <v/>
      </c>
      <c r="X216" s="36" t="str">
        <f aca="false">IF($W216="","",IF($T216=5,"High",IF($W216&gt;=Settings!$C$20,"High",IF(OR($W216&gt;=Settings!$C$21,$T216=4),"Medium","Low"))))</f>
        <v/>
      </c>
      <c r="Y216" s="34"/>
      <c r="Z216" s="37" t="str">
        <f aca="false">IF($O216="","",$O216*Settings!$C$5)</f>
        <v/>
      </c>
      <c r="AA216" s="37" t="n">
        <f aca="false">IF(OR($H216&lt;&gt;"Complaint",$P216&lt;&gt;"Upheld",$T216=""),0,IF($G216="",Settings!$C$6,$G216)*INDEX(Settings!$C$8:$C$12,6-$T216))</f>
        <v>0</v>
      </c>
      <c r="AB216" s="37" t="str">
        <f aca="false">IF($B216="","",IF($Y216="",0,$Y216)+IF($Z216="",0,$Z216)+IF($AA216="",0,$AA216))</f>
        <v/>
      </c>
      <c r="AC216" s="35"/>
      <c r="AD216" s="33"/>
      <c r="AE216" s="36" t="str">
        <f aca="false">IF($B216="","",IF(OR($H216="Nonconformity (process)",$S216="Yes",AND(ISNUMBER($W216),$W216&gt;=Settings!$C$20)),"YES – required","No"))</f>
        <v/>
      </c>
      <c r="AF216" s="33"/>
      <c r="AG216" s="33"/>
      <c r="AH216" s="32"/>
      <c r="AI216" s="33"/>
      <c r="AJ216" s="32"/>
      <c r="AK216" s="31" t="str">
        <f aca="false">IF(OR($B216="",$AJ216=""),"",$AJ216-$B216)</f>
        <v/>
      </c>
      <c r="AL216" s="31" t="str">
        <f aca="false">IF($X216="","",INDEX(Settings!$C$15:$C$17,MATCH($X216,Settings!$B$15:$B$17,0)))</f>
        <v/>
      </c>
      <c r="AM216" s="36" t="str">
        <f aca="true">IF($B216="","",IF($AH216="","No due date",IF($AI216="Closed",IF($AJ216="","Missing close date",IF($AJ216&lt;=$AH216,"On time","Late")),IF(TODAY()&gt;$AH216,"OVERDUE","In progress"))))</f>
        <v/>
      </c>
      <c r="AN216" s="35"/>
    </row>
    <row r="217" customFormat="false" ht="27.75" hidden="false" customHeight="true" outlineLevel="0" collapsed="false">
      <c r="A217" s="31" t="str">
        <f aca="false">IF($B217="","",ROW()-4)</f>
        <v/>
      </c>
      <c r="B217" s="32"/>
      <c r="C217" s="32"/>
      <c r="D217" s="33"/>
      <c r="E217" s="33"/>
      <c r="F217" s="33"/>
      <c r="G217" s="34"/>
      <c r="H217" s="33"/>
      <c r="I217" s="33"/>
      <c r="J217" s="33"/>
      <c r="K217" s="33"/>
      <c r="L217" s="35"/>
      <c r="M217" s="33"/>
      <c r="N217" s="33"/>
      <c r="O217" s="33"/>
      <c r="P217" s="33"/>
      <c r="Q217" s="35"/>
      <c r="R217" s="33"/>
      <c r="S217" s="33"/>
      <c r="T217" s="33"/>
      <c r="U217" s="33"/>
      <c r="V217" s="33"/>
      <c r="W217" s="31" t="str">
        <f aca="false">IF(OR($T217="",$U217="",$V217=""),"",$T217*$U217*$V217)</f>
        <v/>
      </c>
      <c r="X217" s="36" t="str">
        <f aca="false">IF($W217="","",IF($T217=5,"High",IF($W217&gt;=Settings!$C$20,"High",IF(OR($W217&gt;=Settings!$C$21,$T217=4),"Medium","Low"))))</f>
        <v/>
      </c>
      <c r="Y217" s="34"/>
      <c r="Z217" s="37" t="str">
        <f aca="false">IF($O217="","",$O217*Settings!$C$5)</f>
        <v/>
      </c>
      <c r="AA217" s="37" t="n">
        <f aca="false">IF(OR($H217&lt;&gt;"Complaint",$P217&lt;&gt;"Upheld",$T217=""),0,IF($G217="",Settings!$C$6,$G217)*INDEX(Settings!$C$8:$C$12,6-$T217))</f>
        <v>0</v>
      </c>
      <c r="AB217" s="37" t="str">
        <f aca="false">IF($B217="","",IF($Y217="",0,$Y217)+IF($Z217="",0,$Z217)+IF($AA217="",0,$AA217))</f>
        <v/>
      </c>
      <c r="AC217" s="35"/>
      <c r="AD217" s="33"/>
      <c r="AE217" s="36" t="str">
        <f aca="false">IF($B217="","",IF(OR($H217="Nonconformity (process)",$S217="Yes",AND(ISNUMBER($W217),$W217&gt;=Settings!$C$20)),"YES – required","No"))</f>
        <v/>
      </c>
      <c r="AF217" s="33"/>
      <c r="AG217" s="33"/>
      <c r="AH217" s="32"/>
      <c r="AI217" s="33"/>
      <c r="AJ217" s="32"/>
      <c r="AK217" s="31" t="str">
        <f aca="false">IF(OR($B217="",$AJ217=""),"",$AJ217-$B217)</f>
        <v/>
      </c>
      <c r="AL217" s="31" t="str">
        <f aca="false">IF($X217="","",INDEX(Settings!$C$15:$C$17,MATCH($X217,Settings!$B$15:$B$17,0)))</f>
        <v/>
      </c>
      <c r="AM217" s="36" t="str">
        <f aca="true">IF($B217="","",IF($AH217="","No due date",IF($AI217="Closed",IF($AJ217="","Missing close date",IF($AJ217&lt;=$AH217,"On time","Late")),IF(TODAY()&gt;$AH217,"OVERDUE","In progress"))))</f>
        <v/>
      </c>
      <c r="AN217" s="35"/>
    </row>
    <row r="218" customFormat="false" ht="27.75" hidden="false" customHeight="true" outlineLevel="0" collapsed="false">
      <c r="A218" s="31" t="str">
        <f aca="false">IF($B218="","",ROW()-4)</f>
        <v/>
      </c>
      <c r="B218" s="32"/>
      <c r="C218" s="32"/>
      <c r="D218" s="33"/>
      <c r="E218" s="33"/>
      <c r="F218" s="33"/>
      <c r="G218" s="34"/>
      <c r="H218" s="33"/>
      <c r="I218" s="33"/>
      <c r="J218" s="33"/>
      <c r="K218" s="33"/>
      <c r="L218" s="35"/>
      <c r="M218" s="33"/>
      <c r="N218" s="33"/>
      <c r="O218" s="33"/>
      <c r="P218" s="33"/>
      <c r="Q218" s="35"/>
      <c r="R218" s="33"/>
      <c r="S218" s="33"/>
      <c r="T218" s="33"/>
      <c r="U218" s="33"/>
      <c r="V218" s="33"/>
      <c r="W218" s="31" t="str">
        <f aca="false">IF(OR($T218="",$U218="",$V218=""),"",$T218*$U218*$V218)</f>
        <v/>
      </c>
      <c r="X218" s="36" t="str">
        <f aca="false">IF($W218="","",IF($T218=5,"High",IF($W218&gt;=Settings!$C$20,"High",IF(OR($W218&gt;=Settings!$C$21,$T218=4),"Medium","Low"))))</f>
        <v/>
      </c>
      <c r="Y218" s="34"/>
      <c r="Z218" s="37" t="str">
        <f aca="false">IF($O218="","",$O218*Settings!$C$5)</f>
        <v/>
      </c>
      <c r="AA218" s="37" t="n">
        <f aca="false">IF(OR($H218&lt;&gt;"Complaint",$P218&lt;&gt;"Upheld",$T218=""),0,IF($G218="",Settings!$C$6,$G218)*INDEX(Settings!$C$8:$C$12,6-$T218))</f>
        <v>0</v>
      </c>
      <c r="AB218" s="37" t="str">
        <f aca="false">IF($B218="","",IF($Y218="",0,$Y218)+IF($Z218="",0,$Z218)+IF($AA218="",0,$AA218))</f>
        <v/>
      </c>
      <c r="AC218" s="35"/>
      <c r="AD218" s="33"/>
      <c r="AE218" s="36" t="str">
        <f aca="false">IF($B218="","",IF(OR($H218="Nonconformity (process)",$S218="Yes",AND(ISNUMBER($W218),$W218&gt;=Settings!$C$20)),"YES – required","No"))</f>
        <v/>
      </c>
      <c r="AF218" s="33"/>
      <c r="AG218" s="33"/>
      <c r="AH218" s="32"/>
      <c r="AI218" s="33"/>
      <c r="AJ218" s="32"/>
      <c r="AK218" s="31" t="str">
        <f aca="false">IF(OR($B218="",$AJ218=""),"",$AJ218-$B218)</f>
        <v/>
      </c>
      <c r="AL218" s="31" t="str">
        <f aca="false">IF($X218="","",INDEX(Settings!$C$15:$C$17,MATCH($X218,Settings!$B$15:$B$17,0)))</f>
        <v/>
      </c>
      <c r="AM218" s="36" t="str">
        <f aca="true">IF($B218="","",IF($AH218="","No due date",IF($AI218="Closed",IF($AJ218="","Missing close date",IF($AJ218&lt;=$AH218,"On time","Late")),IF(TODAY()&gt;$AH218,"OVERDUE","In progress"))))</f>
        <v/>
      </c>
      <c r="AN218" s="35"/>
    </row>
    <row r="219" customFormat="false" ht="27.75" hidden="false" customHeight="true" outlineLevel="0" collapsed="false">
      <c r="A219" s="31" t="str">
        <f aca="false">IF($B219="","",ROW()-4)</f>
        <v/>
      </c>
      <c r="B219" s="32"/>
      <c r="C219" s="32"/>
      <c r="D219" s="33"/>
      <c r="E219" s="33"/>
      <c r="F219" s="33"/>
      <c r="G219" s="34"/>
      <c r="H219" s="33"/>
      <c r="I219" s="33"/>
      <c r="J219" s="33"/>
      <c r="K219" s="33"/>
      <c r="L219" s="35"/>
      <c r="M219" s="33"/>
      <c r="N219" s="33"/>
      <c r="O219" s="33"/>
      <c r="P219" s="33"/>
      <c r="Q219" s="35"/>
      <c r="R219" s="33"/>
      <c r="S219" s="33"/>
      <c r="T219" s="33"/>
      <c r="U219" s="33"/>
      <c r="V219" s="33"/>
      <c r="W219" s="31" t="str">
        <f aca="false">IF(OR($T219="",$U219="",$V219=""),"",$T219*$U219*$V219)</f>
        <v/>
      </c>
      <c r="X219" s="36" t="str">
        <f aca="false">IF($W219="","",IF($T219=5,"High",IF($W219&gt;=Settings!$C$20,"High",IF(OR($W219&gt;=Settings!$C$21,$T219=4),"Medium","Low"))))</f>
        <v/>
      </c>
      <c r="Y219" s="34"/>
      <c r="Z219" s="37" t="str">
        <f aca="false">IF($O219="","",$O219*Settings!$C$5)</f>
        <v/>
      </c>
      <c r="AA219" s="37" t="n">
        <f aca="false">IF(OR($H219&lt;&gt;"Complaint",$P219&lt;&gt;"Upheld",$T219=""),0,IF($G219="",Settings!$C$6,$G219)*INDEX(Settings!$C$8:$C$12,6-$T219))</f>
        <v>0</v>
      </c>
      <c r="AB219" s="37" t="str">
        <f aca="false">IF($B219="","",IF($Y219="",0,$Y219)+IF($Z219="",0,$Z219)+IF($AA219="",0,$AA219))</f>
        <v/>
      </c>
      <c r="AC219" s="35"/>
      <c r="AD219" s="33"/>
      <c r="AE219" s="36" t="str">
        <f aca="false">IF($B219="","",IF(OR($H219="Nonconformity (process)",$S219="Yes",AND(ISNUMBER($W219),$W219&gt;=Settings!$C$20)),"YES – required","No"))</f>
        <v/>
      </c>
      <c r="AF219" s="33"/>
      <c r="AG219" s="33"/>
      <c r="AH219" s="32"/>
      <c r="AI219" s="33"/>
      <c r="AJ219" s="32"/>
      <c r="AK219" s="31" t="str">
        <f aca="false">IF(OR($B219="",$AJ219=""),"",$AJ219-$B219)</f>
        <v/>
      </c>
      <c r="AL219" s="31" t="str">
        <f aca="false">IF($X219="","",INDEX(Settings!$C$15:$C$17,MATCH($X219,Settings!$B$15:$B$17,0)))</f>
        <v/>
      </c>
      <c r="AM219" s="36" t="str">
        <f aca="true">IF($B219="","",IF($AH219="","No due date",IF($AI219="Closed",IF($AJ219="","Missing close date",IF($AJ219&lt;=$AH219,"On time","Late")),IF(TODAY()&gt;$AH219,"OVERDUE","In progress"))))</f>
        <v/>
      </c>
      <c r="AN219" s="35"/>
    </row>
    <row r="220" customFormat="false" ht="27.75" hidden="false" customHeight="true" outlineLevel="0" collapsed="false">
      <c r="A220" s="31" t="str">
        <f aca="false">IF($B220="","",ROW()-4)</f>
        <v/>
      </c>
      <c r="B220" s="32"/>
      <c r="C220" s="32"/>
      <c r="D220" s="33"/>
      <c r="E220" s="33"/>
      <c r="F220" s="33"/>
      <c r="G220" s="34"/>
      <c r="H220" s="33"/>
      <c r="I220" s="33"/>
      <c r="J220" s="33"/>
      <c r="K220" s="33"/>
      <c r="L220" s="35"/>
      <c r="M220" s="33"/>
      <c r="N220" s="33"/>
      <c r="O220" s="33"/>
      <c r="P220" s="33"/>
      <c r="Q220" s="35"/>
      <c r="R220" s="33"/>
      <c r="S220" s="33"/>
      <c r="T220" s="33"/>
      <c r="U220" s="33"/>
      <c r="V220" s="33"/>
      <c r="W220" s="31" t="str">
        <f aca="false">IF(OR($T220="",$U220="",$V220=""),"",$T220*$U220*$V220)</f>
        <v/>
      </c>
      <c r="X220" s="36" t="str">
        <f aca="false">IF($W220="","",IF($T220=5,"High",IF($W220&gt;=Settings!$C$20,"High",IF(OR($W220&gt;=Settings!$C$21,$T220=4),"Medium","Low"))))</f>
        <v/>
      </c>
      <c r="Y220" s="34"/>
      <c r="Z220" s="37" t="str">
        <f aca="false">IF($O220="","",$O220*Settings!$C$5)</f>
        <v/>
      </c>
      <c r="AA220" s="37" t="n">
        <f aca="false">IF(OR($H220&lt;&gt;"Complaint",$P220&lt;&gt;"Upheld",$T220=""),0,IF($G220="",Settings!$C$6,$G220)*INDEX(Settings!$C$8:$C$12,6-$T220))</f>
        <v>0</v>
      </c>
      <c r="AB220" s="37" t="str">
        <f aca="false">IF($B220="","",IF($Y220="",0,$Y220)+IF($Z220="",0,$Z220)+IF($AA220="",0,$AA220))</f>
        <v/>
      </c>
      <c r="AC220" s="35"/>
      <c r="AD220" s="33"/>
      <c r="AE220" s="36" t="str">
        <f aca="false">IF($B220="","",IF(OR($H220="Nonconformity (process)",$S220="Yes",AND(ISNUMBER($W220),$W220&gt;=Settings!$C$20)),"YES – required","No"))</f>
        <v/>
      </c>
      <c r="AF220" s="33"/>
      <c r="AG220" s="33"/>
      <c r="AH220" s="32"/>
      <c r="AI220" s="33"/>
      <c r="AJ220" s="32"/>
      <c r="AK220" s="31" t="str">
        <f aca="false">IF(OR($B220="",$AJ220=""),"",$AJ220-$B220)</f>
        <v/>
      </c>
      <c r="AL220" s="31" t="str">
        <f aca="false">IF($X220="","",INDEX(Settings!$C$15:$C$17,MATCH($X220,Settings!$B$15:$B$17,0)))</f>
        <v/>
      </c>
      <c r="AM220" s="36" t="str">
        <f aca="true">IF($B220="","",IF($AH220="","No due date",IF($AI220="Closed",IF($AJ220="","Missing close date",IF($AJ220&lt;=$AH220,"On time","Late")),IF(TODAY()&gt;$AH220,"OVERDUE","In progress"))))</f>
        <v/>
      </c>
      <c r="AN220" s="35"/>
    </row>
    <row r="221" customFormat="false" ht="27.75" hidden="false" customHeight="true" outlineLevel="0" collapsed="false">
      <c r="A221" s="31" t="str">
        <f aca="false">IF($B221="","",ROW()-4)</f>
        <v/>
      </c>
      <c r="B221" s="32"/>
      <c r="C221" s="32"/>
      <c r="D221" s="33"/>
      <c r="E221" s="33"/>
      <c r="F221" s="33"/>
      <c r="G221" s="34"/>
      <c r="H221" s="33"/>
      <c r="I221" s="33"/>
      <c r="J221" s="33"/>
      <c r="K221" s="33"/>
      <c r="L221" s="35"/>
      <c r="M221" s="33"/>
      <c r="N221" s="33"/>
      <c r="O221" s="33"/>
      <c r="P221" s="33"/>
      <c r="Q221" s="35"/>
      <c r="R221" s="33"/>
      <c r="S221" s="33"/>
      <c r="T221" s="33"/>
      <c r="U221" s="33"/>
      <c r="V221" s="33"/>
      <c r="W221" s="31" t="str">
        <f aca="false">IF(OR($T221="",$U221="",$V221=""),"",$T221*$U221*$V221)</f>
        <v/>
      </c>
      <c r="X221" s="36" t="str">
        <f aca="false">IF($W221="","",IF($T221=5,"High",IF($W221&gt;=Settings!$C$20,"High",IF(OR($W221&gt;=Settings!$C$21,$T221=4),"Medium","Low"))))</f>
        <v/>
      </c>
      <c r="Y221" s="34"/>
      <c r="Z221" s="37" t="str">
        <f aca="false">IF($O221="","",$O221*Settings!$C$5)</f>
        <v/>
      </c>
      <c r="AA221" s="37" t="n">
        <f aca="false">IF(OR($H221&lt;&gt;"Complaint",$P221&lt;&gt;"Upheld",$T221=""),0,IF($G221="",Settings!$C$6,$G221)*INDEX(Settings!$C$8:$C$12,6-$T221))</f>
        <v>0</v>
      </c>
      <c r="AB221" s="37" t="str">
        <f aca="false">IF($B221="","",IF($Y221="",0,$Y221)+IF($Z221="",0,$Z221)+IF($AA221="",0,$AA221))</f>
        <v/>
      </c>
      <c r="AC221" s="35"/>
      <c r="AD221" s="33"/>
      <c r="AE221" s="36" t="str">
        <f aca="false">IF($B221="","",IF(OR($H221="Nonconformity (process)",$S221="Yes",AND(ISNUMBER($W221),$W221&gt;=Settings!$C$20)),"YES – required","No"))</f>
        <v/>
      </c>
      <c r="AF221" s="33"/>
      <c r="AG221" s="33"/>
      <c r="AH221" s="32"/>
      <c r="AI221" s="33"/>
      <c r="AJ221" s="32"/>
      <c r="AK221" s="31" t="str">
        <f aca="false">IF(OR($B221="",$AJ221=""),"",$AJ221-$B221)</f>
        <v/>
      </c>
      <c r="AL221" s="31" t="str">
        <f aca="false">IF($X221="","",INDEX(Settings!$C$15:$C$17,MATCH($X221,Settings!$B$15:$B$17,0)))</f>
        <v/>
      </c>
      <c r="AM221" s="36" t="str">
        <f aca="true">IF($B221="","",IF($AH221="","No due date",IF($AI221="Closed",IF($AJ221="","Missing close date",IF($AJ221&lt;=$AH221,"On time","Late")),IF(TODAY()&gt;$AH221,"OVERDUE","In progress"))))</f>
        <v/>
      </c>
      <c r="AN221" s="35"/>
    </row>
    <row r="222" customFormat="false" ht="27.75" hidden="false" customHeight="true" outlineLevel="0" collapsed="false">
      <c r="A222" s="31" t="str">
        <f aca="false">IF($B222="","",ROW()-4)</f>
        <v/>
      </c>
      <c r="B222" s="32"/>
      <c r="C222" s="32"/>
      <c r="D222" s="33"/>
      <c r="E222" s="33"/>
      <c r="F222" s="33"/>
      <c r="G222" s="34"/>
      <c r="H222" s="33"/>
      <c r="I222" s="33"/>
      <c r="J222" s="33"/>
      <c r="K222" s="33"/>
      <c r="L222" s="35"/>
      <c r="M222" s="33"/>
      <c r="N222" s="33"/>
      <c r="O222" s="33"/>
      <c r="P222" s="33"/>
      <c r="Q222" s="35"/>
      <c r="R222" s="33"/>
      <c r="S222" s="33"/>
      <c r="T222" s="33"/>
      <c r="U222" s="33"/>
      <c r="V222" s="33"/>
      <c r="W222" s="31" t="str">
        <f aca="false">IF(OR($T222="",$U222="",$V222=""),"",$T222*$U222*$V222)</f>
        <v/>
      </c>
      <c r="X222" s="36" t="str">
        <f aca="false">IF($W222="","",IF($T222=5,"High",IF($W222&gt;=Settings!$C$20,"High",IF(OR($W222&gt;=Settings!$C$21,$T222=4),"Medium","Low"))))</f>
        <v/>
      </c>
      <c r="Y222" s="34"/>
      <c r="Z222" s="37" t="str">
        <f aca="false">IF($O222="","",$O222*Settings!$C$5)</f>
        <v/>
      </c>
      <c r="AA222" s="37" t="n">
        <f aca="false">IF(OR($H222&lt;&gt;"Complaint",$P222&lt;&gt;"Upheld",$T222=""),0,IF($G222="",Settings!$C$6,$G222)*INDEX(Settings!$C$8:$C$12,6-$T222))</f>
        <v>0</v>
      </c>
      <c r="AB222" s="37" t="str">
        <f aca="false">IF($B222="","",IF($Y222="",0,$Y222)+IF($Z222="",0,$Z222)+IF($AA222="",0,$AA222))</f>
        <v/>
      </c>
      <c r="AC222" s="35"/>
      <c r="AD222" s="33"/>
      <c r="AE222" s="36" t="str">
        <f aca="false">IF($B222="","",IF(OR($H222="Nonconformity (process)",$S222="Yes",AND(ISNUMBER($W222),$W222&gt;=Settings!$C$20)),"YES – required","No"))</f>
        <v/>
      </c>
      <c r="AF222" s="33"/>
      <c r="AG222" s="33"/>
      <c r="AH222" s="32"/>
      <c r="AI222" s="33"/>
      <c r="AJ222" s="32"/>
      <c r="AK222" s="31" t="str">
        <f aca="false">IF(OR($B222="",$AJ222=""),"",$AJ222-$B222)</f>
        <v/>
      </c>
      <c r="AL222" s="31" t="str">
        <f aca="false">IF($X222="","",INDEX(Settings!$C$15:$C$17,MATCH($X222,Settings!$B$15:$B$17,0)))</f>
        <v/>
      </c>
      <c r="AM222" s="36" t="str">
        <f aca="true">IF($B222="","",IF($AH222="","No due date",IF($AI222="Closed",IF($AJ222="","Missing close date",IF($AJ222&lt;=$AH222,"On time","Late")),IF(TODAY()&gt;$AH222,"OVERDUE","In progress"))))</f>
        <v/>
      </c>
      <c r="AN222" s="35"/>
    </row>
    <row r="223" customFormat="false" ht="27.75" hidden="false" customHeight="true" outlineLevel="0" collapsed="false">
      <c r="A223" s="31" t="str">
        <f aca="false">IF($B223="","",ROW()-4)</f>
        <v/>
      </c>
      <c r="B223" s="32"/>
      <c r="C223" s="32"/>
      <c r="D223" s="33"/>
      <c r="E223" s="33"/>
      <c r="F223" s="33"/>
      <c r="G223" s="34"/>
      <c r="H223" s="33"/>
      <c r="I223" s="33"/>
      <c r="J223" s="33"/>
      <c r="K223" s="33"/>
      <c r="L223" s="35"/>
      <c r="M223" s="33"/>
      <c r="N223" s="33"/>
      <c r="O223" s="33"/>
      <c r="P223" s="33"/>
      <c r="Q223" s="35"/>
      <c r="R223" s="33"/>
      <c r="S223" s="33"/>
      <c r="T223" s="33"/>
      <c r="U223" s="33"/>
      <c r="V223" s="33"/>
      <c r="W223" s="31" t="str">
        <f aca="false">IF(OR($T223="",$U223="",$V223=""),"",$T223*$U223*$V223)</f>
        <v/>
      </c>
      <c r="X223" s="36" t="str">
        <f aca="false">IF($W223="","",IF($T223=5,"High",IF($W223&gt;=Settings!$C$20,"High",IF(OR($W223&gt;=Settings!$C$21,$T223=4),"Medium","Low"))))</f>
        <v/>
      </c>
      <c r="Y223" s="34"/>
      <c r="Z223" s="37" t="str">
        <f aca="false">IF($O223="","",$O223*Settings!$C$5)</f>
        <v/>
      </c>
      <c r="AA223" s="37" t="n">
        <f aca="false">IF(OR($H223&lt;&gt;"Complaint",$P223&lt;&gt;"Upheld",$T223=""),0,IF($G223="",Settings!$C$6,$G223)*INDEX(Settings!$C$8:$C$12,6-$T223))</f>
        <v>0</v>
      </c>
      <c r="AB223" s="37" t="str">
        <f aca="false">IF($B223="","",IF($Y223="",0,$Y223)+IF($Z223="",0,$Z223)+IF($AA223="",0,$AA223))</f>
        <v/>
      </c>
      <c r="AC223" s="35"/>
      <c r="AD223" s="33"/>
      <c r="AE223" s="36" t="str">
        <f aca="false">IF($B223="","",IF(OR($H223="Nonconformity (process)",$S223="Yes",AND(ISNUMBER($W223),$W223&gt;=Settings!$C$20)),"YES – required","No"))</f>
        <v/>
      </c>
      <c r="AF223" s="33"/>
      <c r="AG223" s="33"/>
      <c r="AH223" s="32"/>
      <c r="AI223" s="33"/>
      <c r="AJ223" s="32"/>
      <c r="AK223" s="31" t="str">
        <f aca="false">IF(OR($B223="",$AJ223=""),"",$AJ223-$B223)</f>
        <v/>
      </c>
      <c r="AL223" s="31" t="str">
        <f aca="false">IF($X223="","",INDEX(Settings!$C$15:$C$17,MATCH($X223,Settings!$B$15:$B$17,0)))</f>
        <v/>
      </c>
      <c r="AM223" s="36" t="str">
        <f aca="true">IF($B223="","",IF($AH223="","No due date",IF($AI223="Closed",IF($AJ223="","Missing close date",IF($AJ223&lt;=$AH223,"On time","Late")),IF(TODAY()&gt;$AH223,"OVERDUE","In progress"))))</f>
        <v/>
      </c>
      <c r="AN223" s="35"/>
    </row>
    <row r="224" customFormat="false" ht="27.75" hidden="false" customHeight="true" outlineLevel="0" collapsed="false">
      <c r="A224" s="31" t="str">
        <f aca="false">IF($B224="","",ROW()-4)</f>
        <v/>
      </c>
      <c r="B224" s="32"/>
      <c r="C224" s="32"/>
      <c r="D224" s="33"/>
      <c r="E224" s="33"/>
      <c r="F224" s="33"/>
      <c r="G224" s="34"/>
      <c r="H224" s="33"/>
      <c r="I224" s="33"/>
      <c r="J224" s="33"/>
      <c r="K224" s="33"/>
      <c r="L224" s="35"/>
      <c r="M224" s="33"/>
      <c r="N224" s="33"/>
      <c r="O224" s="33"/>
      <c r="P224" s="33"/>
      <c r="Q224" s="35"/>
      <c r="R224" s="33"/>
      <c r="S224" s="33"/>
      <c r="T224" s="33"/>
      <c r="U224" s="33"/>
      <c r="V224" s="33"/>
      <c r="W224" s="31" t="str">
        <f aca="false">IF(OR($T224="",$U224="",$V224=""),"",$T224*$U224*$V224)</f>
        <v/>
      </c>
      <c r="X224" s="36" t="str">
        <f aca="false">IF($W224="","",IF($T224=5,"High",IF($W224&gt;=Settings!$C$20,"High",IF(OR($W224&gt;=Settings!$C$21,$T224=4),"Medium","Low"))))</f>
        <v/>
      </c>
      <c r="Y224" s="34"/>
      <c r="Z224" s="37" t="str">
        <f aca="false">IF($O224="","",$O224*Settings!$C$5)</f>
        <v/>
      </c>
      <c r="AA224" s="37" t="n">
        <f aca="false">IF(OR($H224&lt;&gt;"Complaint",$P224&lt;&gt;"Upheld",$T224=""),0,IF($G224="",Settings!$C$6,$G224)*INDEX(Settings!$C$8:$C$12,6-$T224))</f>
        <v>0</v>
      </c>
      <c r="AB224" s="37" t="str">
        <f aca="false">IF($B224="","",IF($Y224="",0,$Y224)+IF($Z224="",0,$Z224)+IF($AA224="",0,$AA224))</f>
        <v/>
      </c>
      <c r="AC224" s="35"/>
      <c r="AD224" s="33"/>
      <c r="AE224" s="36" t="str">
        <f aca="false">IF($B224="","",IF(OR($H224="Nonconformity (process)",$S224="Yes",AND(ISNUMBER($W224),$W224&gt;=Settings!$C$20)),"YES – required","No"))</f>
        <v/>
      </c>
      <c r="AF224" s="33"/>
      <c r="AG224" s="33"/>
      <c r="AH224" s="32"/>
      <c r="AI224" s="33"/>
      <c r="AJ224" s="32"/>
      <c r="AK224" s="31" t="str">
        <f aca="false">IF(OR($B224="",$AJ224=""),"",$AJ224-$B224)</f>
        <v/>
      </c>
      <c r="AL224" s="31" t="str">
        <f aca="false">IF($X224="","",INDEX(Settings!$C$15:$C$17,MATCH($X224,Settings!$B$15:$B$17,0)))</f>
        <v/>
      </c>
      <c r="AM224" s="36" t="str">
        <f aca="true">IF($B224="","",IF($AH224="","No due date",IF($AI224="Closed",IF($AJ224="","Missing close date",IF($AJ224&lt;=$AH224,"On time","Late")),IF(TODAY()&gt;$AH224,"OVERDUE","In progress"))))</f>
        <v/>
      </c>
      <c r="AN224" s="35"/>
    </row>
    <row r="225" customFormat="false" ht="27.75" hidden="false" customHeight="true" outlineLevel="0" collapsed="false">
      <c r="A225" s="31" t="str">
        <f aca="false">IF($B225="","",ROW()-4)</f>
        <v/>
      </c>
      <c r="B225" s="32"/>
      <c r="C225" s="32"/>
      <c r="D225" s="33"/>
      <c r="E225" s="33"/>
      <c r="F225" s="33"/>
      <c r="G225" s="34"/>
      <c r="H225" s="33"/>
      <c r="I225" s="33"/>
      <c r="J225" s="33"/>
      <c r="K225" s="33"/>
      <c r="L225" s="35"/>
      <c r="M225" s="33"/>
      <c r="N225" s="33"/>
      <c r="O225" s="33"/>
      <c r="P225" s="33"/>
      <c r="Q225" s="35"/>
      <c r="R225" s="33"/>
      <c r="S225" s="33"/>
      <c r="T225" s="33"/>
      <c r="U225" s="33"/>
      <c r="V225" s="33"/>
      <c r="W225" s="31" t="str">
        <f aca="false">IF(OR($T225="",$U225="",$V225=""),"",$T225*$U225*$V225)</f>
        <v/>
      </c>
      <c r="X225" s="36" t="str">
        <f aca="false">IF($W225="","",IF($T225=5,"High",IF($W225&gt;=Settings!$C$20,"High",IF(OR($W225&gt;=Settings!$C$21,$T225=4),"Medium","Low"))))</f>
        <v/>
      </c>
      <c r="Y225" s="34"/>
      <c r="Z225" s="37" t="str">
        <f aca="false">IF($O225="","",$O225*Settings!$C$5)</f>
        <v/>
      </c>
      <c r="AA225" s="37" t="n">
        <f aca="false">IF(OR($H225&lt;&gt;"Complaint",$P225&lt;&gt;"Upheld",$T225=""),0,IF($G225="",Settings!$C$6,$G225)*INDEX(Settings!$C$8:$C$12,6-$T225))</f>
        <v>0</v>
      </c>
      <c r="AB225" s="37" t="str">
        <f aca="false">IF($B225="","",IF($Y225="",0,$Y225)+IF($Z225="",0,$Z225)+IF($AA225="",0,$AA225))</f>
        <v/>
      </c>
      <c r="AC225" s="35"/>
      <c r="AD225" s="33"/>
      <c r="AE225" s="36" t="str">
        <f aca="false">IF($B225="","",IF(OR($H225="Nonconformity (process)",$S225="Yes",AND(ISNUMBER($W225),$W225&gt;=Settings!$C$20)),"YES – required","No"))</f>
        <v/>
      </c>
      <c r="AF225" s="33"/>
      <c r="AG225" s="33"/>
      <c r="AH225" s="32"/>
      <c r="AI225" s="33"/>
      <c r="AJ225" s="32"/>
      <c r="AK225" s="31" t="str">
        <f aca="false">IF(OR($B225="",$AJ225=""),"",$AJ225-$B225)</f>
        <v/>
      </c>
      <c r="AL225" s="31" t="str">
        <f aca="false">IF($X225="","",INDEX(Settings!$C$15:$C$17,MATCH($X225,Settings!$B$15:$B$17,0)))</f>
        <v/>
      </c>
      <c r="AM225" s="36" t="str">
        <f aca="true">IF($B225="","",IF($AH225="","No due date",IF($AI225="Closed",IF($AJ225="","Missing close date",IF($AJ225&lt;=$AH225,"On time","Late")),IF(TODAY()&gt;$AH225,"OVERDUE","In progress"))))</f>
        <v/>
      </c>
      <c r="AN225" s="35"/>
    </row>
    <row r="226" customFormat="false" ht="27.75" hidden="false" customHeight="true" outlineLevel="0" collapsed="false">
      <c r="A226" s="31" t="str">
        <f aca="false">IF($B226="","",ROW()-4)</f>
        <v/>
      </c>
      <c r="B226" s="32"/>
      <c r="C226" s="32"/>
      <c r="D226" s="33"/>
      <c r="E226" s="33"/>
      <c r="F226" s="33"/>
      <c r="G226" s="34"/>
      <c r="H226" s="33"/>
      <c r="I226" s="33"/>
      <c r="J226" s="33"/>
      <c r="K226" s="33"/>
      <c r="L226" s="35"/>
      <c r="M226" s="33"/>
      <c r="N226" s="33"/>
      <c r="O226" s="33"/>
      <c r="P226" s="33"/>
      <c r="Q226" s="35"/>
      <c r="R226" s="33"/>
      <c r="S226" s="33"/>
      <c r="T226" s="33"/>
      <c r="U226" s="33"/>
      <c r="V226" s="33"/>
      <c r="W226" s="31" t="str">
        <f aca="false">IF(OR($T226="",$U226="",$V226=""),"",$T226*$U226*$V226)</f>
        <v/>
      </c>
      <c r="X226" s="36" t="str">
        <f aca="false">IF($W226="","",IF($T226=5,"High",IF($W226&gt;=Settings!$C$20,"High",IF(OR($W226&gt;=Settings!$C$21,$T226=4),"Medium","Low"))))</f>
        <v/>
      </c>
      <c r="Y226" s="34"/>
      <c r="Z226" s="37" t="str">
        <f aca="false">IF($O226="","",$O226*Settings!$C$5)</f>
        <v/>
      </c>
      <c r="AA226" s="37" t="n">
        <f aca="false">IF(OR($H226&lt;&gt;"Complaint",$P226&lt;&gt;"Upheld",$T226=""),0,IF($G226="",Settings!$C$6,$G226)*INDEX(Settings!$C$8:$C$12,6-$T226))</f>
        <v>0</v>
      </c>
      <c r="AB226" s="37" t="str">
        <f aca="false">IF($B226="","",IF($Y226="",0,$Y226)+IF($Z226="",0,$Z226)+IF($AA226="",0,$AA226))</f>
        <v/>
      </c>
      <c r="AC226" s="35"/>
      <c r="AD226" s="33"/>
      <c r="AE226" s="36" t="str">
        <f aca="false">IF($B226="","",IF(OR($H226="Nonconformity (process)",$S226="Yes",AND(ISNUMBER($W226),$W226&gt;=Settings!$C$20)),"YES – required","No"))</f>
        <v/>
      </c>
      <c r="AF226" s="33"/>
      <c r="AG226" s="33"/>
      <c r="AH226" s="32"/>
      <c r="AI226" s="33"/>
      <c r="AJ226" s="32"/>
      <c r="AK226" s="31" t="str">
        <f aca="false">IF(OR($B226="",$AJ226=""),"",$AJ226-$B226)</f>
        <v/>
      </c>
      <c r="AL226" s="31" t="str">
        <f aca="false">IF($X226="","",INDEX(Settings!$C$15:$C$17,MATCH($X226,Settings!$B$15:$B$17,0)))</f>
        <v/>
      </c>
      <c r="AM226" s="36" t="str">
        <f aca="true">IF($B226="","",IF($AH226="","No due date",IF($AI226="Closed",IF($AJ226="","Missing close date",IF($AJ226&lt;=$AH226,"On time","Late")),IF(TODAY()&gt;$AH226,"OVERDUE","In progress"))))</f>
        <v/>
      </c>
      <c r="AN226" s="35"/>
    </row>
    <row r="227" customFormat="false" ht="27.75" hidden="false" customHeight="true" outlineLevel="0" collapsed="false">
      <c r="A227" s="31" t="str">
        <f aca="false">IF($B227="","",ROW()-4)</f>
        <v/>
      </c>
      <c r="B227" s="32"/>
      <c r="C227" s="32"/>
      <c r="D227" s="33"/>
      <c r="E227" s="33"/>
      <c r="F227" s="33"/>
      <c r="G227" s="34"/>
      <c r="H227" s="33"/>
      <c r="I227" s="33"/>
      <c r="J227" s="33"/>
      <c r="K227" s="33"/>
      <c r="L227" s="35"/>
      <c r="M227" s="33"/>
      <c r="N227" s="33"/>
      <c r="O227" s="33"/>
      <c r="P227" s="33"/>
      <c r="Q227" s="35"/>
      <c r="R227" s="33"/>
      <c r="S227" s="33"/>
      <c r="T227" s="33"/>
      <c r="U227" s="33"/>
      <c r="V227" s="33"/>
      <c r="W227" s="31" t="str">
        <f aca="false">IF(OR($T227="",$U227="",$V227=""),"",$T227*$U227*$V227)</f>
        <v/>
      </c>
      <c r="X227" s="36" t="str">
        <f aca="false">IF($W227="","",IF($T227=5,"High",IF($W227&gt;=Settings!$C$20,"High",IF(OR($W227&gt;=Settings!$C$21,$T227=4),"Medium","Low"))))</f>
        <v/>
      </c>
      <c r="Y227" s="34"/>
      <c r="Z227" s="37" t="str">
        <f aca="false">IF($O227="","",$O227*Settings!$C$5)</f>
        <v/>
      </c>
      <c r="AA227" s="37" t="n">
        <f aca="false">IF(OR($H227&lt;&gt;"Complaint",$P227&lt;&gt;"Upheld",$T227=""),0,IF($G227="",Settings!$C$6,$G227)*INDEX(Settings!$C$8:$C$12,6-$T227))</f>
        <v>0</v>
      </c>
      <c r="AB227" s="37" t="str">
        <f aca="false">IF($B227="","",IF($Y227="",0,$Y227)+IF($Z227="",0,$Z227)+IF($AA227="",0,$AA227))</f>
        <v/>
      </c>
      <c r="AC227" s="35"/>
      <c r="AD227" s="33"/>
      <c r="AE227" s="36" t="str">
        <f aca="false">IF($B227="","",IF(OR($H227="Nonconformity (process)",$S227="Yes",AND(ISNUMBER($W227),$W227&gt;=Settings!$C$20)),"YES – required","No"))</f>
        <v/>
      </c>
      <c r="AF227" s="33"/>
      <c r="AG227" s="33"/>
      <c r="AH227" s="32"/>
      <c r="AI227" s="33"/>
      <c r="AJ227" s="32"/>
      <c r="AK227" s="31" t="str">
        <f aca="false">IF(OR($B227="",$AJ227=""),"",$AJ227-$B227)</f>
        <v/>
      </c>
      <c r="AL227" s="31" t="str">
        <f aca="false">IF($X227="","",INDEX(Settings!$C$15:$C$17,MATCH($X227,Settings!$B$15:$B$17,0)))</f>
        <v/>
      </c>
      <c r="AM227" s="36" t="str">
        <f aca="true">IF($B227="","",IF($AH227="","No due date",IF($AI227="Closed",IF($AJ227="","Missing close date",IF($AJ227&lt;=$AH227,"On time","Late")),IF(TODAY()&gt;$AH227,"OVERDUE","In progress"))))</f>
        <v/>
      </c>
      <c r="AN227" s="35"/>
    </row>
    <row r="228" customFormat="false" ht="27.75" hidden="false" customHeight="true" outlineLevel="0" collapsed="false">
      <c r="A228" s="31" t="str">
        <f aca="false">IF($B228="","",ROW()-4)</f>
        <v/>
      </c>
      <c r="B228" s="32"/>
      <c r="C228" s="32"/>
      <c r="D228" s="33"/>
      <c r="E228" s="33"/>
      <c r="F228" s="33"/>
      <c r="G228" s="34"/>
      <c r="H228" s="33"/>
      <c r="I228" s="33"/>
      <c r="J228" s="33"/>
      <c r="K228" s="33"/>
      <c r="L228" s="35"/>
      <c r="M228" s="33"/>
      <c r="N228" s="33"/>
      <c r="O228" s="33"/>
      <c r="P228" s="33"/>
      <c r="Q228" s="35"/>
      <c r="R228" s="33"/>
      <c r="S228" s="33"/>
      <c r="T228" s="33"/>
      <c r="U228" s="33"/>
      <c r="V228" s="33"/>
      <c r="W228" s="31" t="str">
        <f aca="false">IF(OR($T228="",$U228="",$V228=""),"",$T228*$U228*$V228)</f>
        <v/>
      </c>
      <c r="X228" s="36" t="str">
        <f aca="false">IF($W228="","",IF($T228=5,"High",IF($W228&gt;=Settings!$C$20,"High",IF(OR($W228&gt;=Settings!$C$21,$T228=4),"Medium","Low"))))</f>
        <v/>
      </c>
      <c r="Y228" s="34"/>
      <c r="Z228" s="37" t="str">
        <f aca="false">IF($O228="","",$O228*Settings!$C$5)</f>
        <v/>
      </c>
      <c r="AA228" s="37" t="n">
        <f aca="false">IF(OR($H228&lt;&gt;"Complaint",$P228&lt;&gt;"Upheld",$T228=""),0,IF($G228="",Settings!$C$6,$G228)*INDEX(Settings!$C$8:$C$12,6-$T228))</f>
        <v>0</v>
      </c>
      <c r="AB228" s="37" t="str">
        <f aca="false">IF($B228="","",IF($Y228="",0,$Y228)+IF($Z228="",0,$Z228)+IF($AA228="",0,$AA228))</f>
        <v/>
      </c>
      <c r="AC228" s="35"/>
      <c r="AD228" s="33"/>
      <c r="AE228" s="36" t="str">
        <f aca="false">IF($B228="","",IF(OR($H228="Nonconformity (process)",$S228="Yes",AND(ISNUMBER($W228),$W228&gt;=Settings!$C$20)),"YES – required","No"))</f>
        <v/>
      </c>
      <c r="AF228" s="33"/>
      <c r="AG228" s="33"/>
      <c r="AH228" s="32"/>
      <c r="AI228" s="33"/>
      <c r="AJ228" s="32"/>
      <c r="AK228" s="31" t="str">
        <f aca="false">IF(OR($B228="",$AJ228=""),"",$AJ228-$B228)</f>
        <v/>
      </c>
      <c r="AL228" s="31" t="str">
        <f aca="false">IF($X228="","",INDEX(Settings!$C$15:$C$17,MATCH($X228,Settings!$B$15:$B$17,0)))</f>
        <v/>
      </c>
      <c r="AM228" s="36" t="str">
        <f aca="true">IF($B228="","",IF($AH228="","No due date",IF($AI228="Closed",IF($AJ228="","Missing close date",IF($AJ228&lt;=$AH228,"On time","Late")),IF(TODAY()&gt;$AH228,"OVERDUE","In progress"))))</f>
        <v/>
      </c>
      <c r="AN228" s="35"/>
    </row>
    <row r="229" customFormat="false" ht="27.75" hidden="false" customHeight="true" outlineLevel="0" collapsed="false">
      <c r="A229" s="31" t="str">
        <f aca="false">IF($B229="","",ROW()-4)</f>
        <v/>
      </c>
      <c r="B229" s="32"/>
      <c r="C229" s="32"/>
      <c r="D229" s="33"/>
      <c r="E229" s="33"/>
      <c r="F229" s="33"/>
      <c r="G229" s="34"/>
      <c r="H229" s="33"/>
      <c r="I229" s="33"/>
      <c r="J229" s="33"/>
      <c r="K229" s="33"/>
      <c r="L229" s="35"/>
      <c r="M229" s="33"/>
      <c r="N229" s="33"/>
      <c r="O229" s="33"/>
      <c r="P229" s="33"/>
      <c r="Q229" s="35"/>
      <c r="R229" s="33"/>
      <c r="S229" s="33"/>
      <c r="T229" s="33"/>
      <c r="U229" s="33"/>
      <c r="V229" s="33"/>
      <c r="W229" s="31" t="str">
        <f aca="false">IF(OR($T229="",$U229="",$V229=""),"",$T229*$U229*$V229)</f>
        <v/>
      </c>
      <c r="X229" s="36" t="str">
        <f aca="false">IF($W229="","",IF($T229=5,"High",IF($W229&gt;=Settings!$C$20,"High",IF(OR($W229&gt;=Settings!$C$21,$T229=4),"Medium","Low"))))</f>
        <v/>
      </c>
      <c r="Y229" s="34"/>
      <c r="Z229" s="37" t="str">
        <f aca="false">IF($O229="","",$O229*Settings!$C$5)</f>
        <v/>
      </c>
      <c r="AA229" s="37" t="n">
        <f aca="false">IF(OR($H229&lt;&gt;"Complaint",$P229&lt;&gt;"Upheld",$T229=""),0,IF($G229="",Settings!$C$6,$G229)*INDEX(Settings!$C$8:$C$12,6-$T229))</f>
        <v>0</v>
      </c>
      <c r="AB229" s="37" t="str">
        <f aca="false">IF($B229="","",IF($Y229="",0,$Y229)+IF($Z229="",0,$Z229)+IF($AA229="",0,$AA229))</f>
        <v/>
      </c>
      <c r="AC229" s="35"/>
      <c r="AD229" s="33"/>
      <c r="AE229" s="36" t="str">
        <f aca="false">IF($B229="","",IF(OR($H229="Nonconformity (process)",$S229="Yes",AND(ISNUMBER($W229),$W229&gt;=Settings!$C$20)),"YES – required","No"))</f>
        <v/>
      </c>
      <c r="AF229" s="33"/>
      <c r="AG229" s="33"/>
      <c r="AH229" s="32"/>
      <c r="AI229" s="33"/>
      <c r="AJ229" s="32"/>
      <c r="AK229" s="31" t="str">
        <f aca="false">IF(OR($B229="",$AJ229=""),"",$AJ229-$B229)</f>
        <v/>
      </c>
      <c r="AL229" s="31" t="str">
        <f aca="false">IF($X229="","",INDEX(Settings!$C$15:$C$17,MATCH($X229,Settings!$B$15:$B$17,0)))</f>
        <v/>
      </c>
      <c r="AM229" s="36" t="str">
        <f aca="true">IF($B229="","",IF($AH229="","No due date",IF($AI229="Closed",IF($AJ229="","Missing close date",IF($AJ229&lt;=$AH229,"On time","Late")),IF(TODAY()&gt;$AH229,"OVERDUE","In progress"))))</f>
        <v/>
      </c>
      <c r="AN229" s="35"/>
    </row>
    <row r="230" customFormat="false" ht="27.75" hidden="false" customHeight="true" outlineLevel="0" collapsed="false">
      <c r="A230" s="31" t="str">
        <f aca="false">IF($B230="","",ROW()-4)</f>
        <v/>
      </c>
      <c r="B230" s="32"/>
      <c r="C230" s="32"/>
      <c r="D230" s="33"/>
      <c r="E230" s="33"/>
      <c r="F230" s="33"/>
      <c r="G230" s="34"/>
      <c r="H230" s="33"/>
      <c r="I230" s="33"/>
      <c r="J230" s="33"/>
      <c r="K230" s="33"/>
      <c r="L230" s="35"/>
      <c r="M230" s="33"/>
      <c r="N230" s="33"/>
      <c r="O230" s="33"/>
      <c r="P230" s="33"/>
      <c r="Q230" s="35"/>
      <c r="R230" s="33"/>
      <c r="S230" s="33"/>
      <c r="T230" s="33"/>
      <c r="U230" s="33"/>
      <c r="V230" s="33"/>
      <c r="W230" s="31" t="str">
        <f aca="false">IF(OR($T230="",$U230="",$V230=""),"",$T230*$U230*$V230)</f>
        <v/>
      </c>
      <c r="X230" s="36" t="str">
        <f aca="false">IF($W230="","",IF($T230=5,"High",IF($W230&gt;=Settings!$C$20,"High",IF(OR($W230&gt;=Settings!$C$21,$T230=4),"Medium","Low"))))</f>
        <v/>
      </c>
      <c r="Y230" s="34"/>
      <c r="Z230" s="37" t="str">
        <f aca="false">IF($O230="","",$O230*Settings!$C$5)</f>
        <v/>
      </c>
      <c r="AA230" s="37" t="n">
        <f aca="false">IF(OR($H230&lt;&gt;"Complaint",$P230&lt;&gt;"Upheld",$T230=""),0,IF($G230="",Settings!$C$6,$G230)*INDEX(Settings!$C$8:$C$12,6-$T230))</f>
        <v>0</v>
      </c>
      <c r="AB230" s="37" t="str">
        <f aca="false">IF($B230="","",IF($Y230="",0,$Y230)+IF($Z230="",0,$Z230)+IF($AA230="",0,$AA230))</f>
        <v/>
      </c>
      <c r="AC230" s="35"/>
      <c r="AD230" s="33"/>
      <c r="AE230" s="36" t="str">
        <f aca="false">IF($B230="","",IF(OR($H230="Nonconformity (process)",$S230="Yes",AND(ISNUMBER($W230),$W230&gt;=Settings!$C$20)),"YES – required","No"))</f>
        <v/>
      </c>
      <c r="AF230" s="33"/>
      <c r="AG230" s="33"/>
      <c r="AH230" s="32"/>
      <c r="AI230" s="33"/>
      <c r="AJ230" s="32"/>
      <c r="AK230" s="31" t="str">
        <f aca="false">IF(OR($B230="",$AJ230=""),"",$AJ230-$B230)</f>
        <v/>
      </c>
      <c r="AL230" s="31" t="str">
        <f aca="false">IF($X230="","",INDEX(Settings!$C$15:$C$17,MATCH($X230,Settings!$B$15:$B$17,0)))</f>
        <v/>
      </c>
      <c r="AM230" s="36" t="str">
        <f aca="true">IF($B230="","",IF($AH230="","No due date",IF($AI230="Closed",IF($AJ230="","Missing close date",IF($AJ230&lt;=$AH230,"On time","Late")),IF(TODAY()&gt;$AH230,"OVERDUE","In progress"))))</f>
        <v/>
      </c>
      <c r="AN230" s="35"/>
    </row>
    <row r="231" customFormat="false" ht="27.75" hidden="false" customHeight="true" outlineLevel="0" collapsed="false">
      <c r="A231" s="31" t="str">
        <f aca="false">IF($B231="","",ROW()-4)</f>
        <v/>
      </c>
      <c r="B231" s="32"/>
      <c r="C231" s="32"/>
      <c r="D231" s="33"/>
      <c r="E231" s="33"/>
      <c r="F231" s="33"/>
      <c r="G231" s="34"/>
      <c r="H231" s="33"/>
      <c r="I231" s="33"/>
      <c r="J231" s="33"/>
      <c r="K231" s="33"/>
      <c r="L231" s="35"/>
      <c r="M231" s="33"/>
      <c r="N231" s="33"/>
      <c r="O231" s="33"/>
      <c r="P231" s="33"/>
      <c r="Q231" s="35"/>
      <c r="R231" s="33"/>
      <c r="S231" s="33"/>
      <c r="T231" s="33"/>
      <c r="U231" s="33"/>
      <c r="V231" s="33"/>
      <c r="W231" s="31" t="str">
        <f aca="false">IF(OR($T231="",$U231="",$V231=""),"",$T231*$U231*$V231)</f>
        <v/>
      </c>
      <c r="X231" s="36" t="str">
        <f aca="false">IF($W231="","",IF($T231=5,"High",IF($W231&gt;=Settings!$C$20,"High",IF(OR($W231&gt;=Settings!$C$21,$T231=4),"Medium","Low"))))</f>
        <v/>
      </c>
      <c r="Y231" s="34"/>
      <c r="Z231" s="37" t="str">
        <f aca="false">IF($O231="","",$O231*Settings!$C$5)</f>
        <v/>
      </c>
      <c r="AA231" s="37" t="n">
        <f aca="false">IF(OR($H231&lt;&gt;"Complaint",$P231&lt;&gt;"Upheld",$T231=""),0,IF($G231="",Settings!$C$6,$G231)*INDEX(Settings!$C$8:$C$12,6-$T231))</f>
        <v>0</v>
      </c>
      <c r="AB231" s="37" t="str">
        <f aca="false">IF($B231="","",IF($Y231="",0,$Y231)+IF($Z231="",0,$Z231)+IF($AA231="",0,$AA231))</f>
        <v/>
      </c>
      <c r="AC231" s="35"/>
      <c r="AD231" s="33"/>
      <c r="AE231" s="36" t="str">
        <f aca="false">IF($B231="","",IF(OR($H231="Nonconformity (process)",$S231="Yes",AND(ISNUMBER($W231),$W231&gt;=Settings!$C$20)),"YES – required","No"))</f>
        <v/>
      </c>
      <c r="AF231" s="33"/>
      <c r="AG231" s="33"/>
      <c r="AH231" s="32"/>
      <c r="AI231" s="33"/>
      <c r="AJ231" s="32"/>
      <c r="AK231" s="31" t="str">
        <f aca="false">IF(OR($B231="",$AJ231=""),"",$AJ231-$B231)</f>
        <v/>
      </c>
      <c r="AL231" s="31" t="str">
        <f aca="false">IF($X231="","",INDEX(Settings!$C$15:$C$17,MATCH($X231,Settings!$B$15:$B$17,0)))</f>
        <v/>
      </c>
      <c r="AM231" s="36" t="str">
        <f aca="true">IF($B231="","",IF($AH231="","No due date",IF($AI231="Closed",IF($AJ231="","Missing close date",IF($AJ231&lt;=$AH231,"On time","Late")),IF(TODAY()&gt;$AH231,"OVERDUE","In progress"))))</f>
        <v/>
      </c>
      <c r="AN231" s="35"/>
    </row>
    <row r="232" customFormat="false" ht="27.75" hidden="false" customHeight="true" outlineLevel="0" collapsed="false">
      <c r="A232" s="31" t="str">
        <f aca="false">IF($B232="","",ROW()-4)</f>
        <v/>
      </c>
      <c r="B232" s="32"/>
      <c r="C232" s="32"/>
      <c r="D232" s="33"/>
      <c r="E232" s="33"/>
      <c r="F232" s="33"/>
      <c r="G232" s="34"/>
      <c r="H232" s="33"/>
      <c r="I232" s="33"/>
      <c r="J232" s="33"/>
      <c r="K232" s="33"/>
      <c r="L232" s="35"/>
      <c r="M232" s="33"/>
      <c r="N232" s="33"/>
      <c r="O232" s="33"/>
      <c r="P232" s="33"/>
      <c r="Q232" s="35"/>
      <c r="R232" s="33"/>
      <c r="S232" s="33"/>
      <c r="T232" s="33"/>
      <c r="U232" s="33"/>
      <c r="V232" s="33"/>
      <c r="W232" s="31" t="str">
        <f aca="false">IF(OR($T232="",$U232="",$V232=""),"",$T232*$U232*$V232)</f>
        <v/>
      </c>
      <c r="X232" s="36" t="str">
        <f aca="false">IF($W232="","",IF($T232=5,"High",IF($W232&gt;=Settings!$C$20,"High",IF(OR($W232&gt;=Settings!$C$21,$T232=4),"Medium","Low"))))</f>
        <v/>
      </c>
      <c r="Y232" s="34"/>
      <c r="Z232" s="37" t="str">
        <f aca="false">IF($O232="","",$O232*Settings!$C$5)</f>
        <v/>
      </c>
      <c r="AA232" s="37" t="n">
        <f aca="false">IF(OR($H232&lt;&gt;"Complaint",$P232&lt;&gt;"Upheld",$T232=""),0,IF($G232="",Settings!$C$6,$G232)*INDEX(Settings!$C$8:$C$12,6-$T232))</f>
        <v>0</v>
      </c>
      <c r="AB232" s="37" t="str">
        <f aca="false">IF($B232="","",IF($Y232="",0,$Y232)+IF($Z232="",0,$Z232)+IF($AA232="",0,$AA232))</f>
        <v/>
      </c>
      <c r="AC232" s="35"/>
      <c r="AD232" s="33"/>
      <c r="AE232" s="36" t="str">
        <f aca="false">IF($B232="","",IF(OR($H232="Nonconformity (process)",$S232="Yes",AND(ISNUMBER($W232),$W232&gt;=Settings!$C$20)),"YES – required","No"))</f>
        <v/>
      </c>
      <c r="AF232" s="33"/>
      <c r="AG232" s="33"/>
      <c r="AH232" s="32"/>
      <c r="AI232" s="33"/>
      <c r="AJ232" s="32"/>
      <c r="AK232" s="31" t="str">
        <f aca="false">IF(OR($B232="",$AJ232=""),"",$AJ232-$B232)</f>
        <v/>
      </c>
      <c r="AL232" s="31" t="str">
        <f aca="false">IF($X232="","",INDEX(Settings!$C$15:$C$17,MATCH($X232,Settings!$B$15:$B$17,0)))</f>
        <v/>
      </c>
      <c r="AM232" s="36" t="str">
        <f aca="true">IF($B232="","",IF($AH232="","No due date",IF($AI232="Closed",IF($AJ232="","Missing close date",IF($AJ232&lt;=$AH232,"On time","Late")),IF(TODAY()&gt;$AH232,"OVERDUE","In progress"))))</f>
        <v/>
      </c>
      <c r="AN232" s="35"/>
    </row>
    <row r="233" customFormat="false" ht="27.75" hidden="false" customHeight="true" outlineLevel="0" collapsed="false">
      <c r="A233" s="31" t="str">
        <f aca="false">IF($B233="","",ROW()-4)</f>
        <v/>
      </c>
      <c r="B233" s="32"/>
      <c r="C233" s="32"/>
      <c r="D233" s="33"/>
      <c r="E233" s="33"/>
      <c r="F233" s="33"/>
      <c r="G233" s="34"/>
      <c r="H233" s="33"/>
      <c r="I233" s="33"/>
      <c r="J233" s="33"/>
      <c r="K233" s="33"/>
      <c r="L233" s="35"/>
      <c r="M233" s="33"/>
      <c r="N233" s="33"/>
      <c r="O233" s="33"/>
      <c r="P233" s="33"/>
      <c r="Q233" s="35"/>
      <c r="R233" s="33"/>
      <c r="S233" s="33"/>
      <c r="T233" s="33"/>
      <c r="U233" s="33"/>
      <c r="V233" s="33"/>
      <c r="W233" s="31" t="str">
        <f aca="false">IF(OR($T233="",$U233="",$V233=""),"",$T233*$U233*$V233)</f>
        <v/>
      </c>
      <c r="X233" s="36" t="str">
        <f aca="false">IF($W233="","",IF($T233=5,"High",IF($W233&gt;=Settings!$C$20,"High",IF(OR($W233&gt;=Settings!$C$21,$T233=4),"Medium","Low"))))</f>
        <v/>
      </c>
      <c r="Y233" s="34"/>
      <c r="Z233" s="37" t="str">
        <f aca="false">IF($O233="","",$O233*Settings!$C$5)</f>
        <v/>
      </c>
      <c r="AA233" s="37" t="n">
        <f aca="false">IF(OR($H233&lt;&gt;"Complaint",$P233&lt;&gt;"Upheld",$T233=""),0,IF($G233="",Settings!$C$6,$G233)*INDEX(Settings!$C$8:$C$12,6-$T233))</f>
        <v>0</v>
      </c>
      <c r="AB233" s="37" t="str">
        <f aca="false">IF($B233="","",IF($Y233="",0,$Y233)+IF($Z233="",0,$Z233)+IF($AA233="",0,$AA233))</f>
        <v/>
      </c>
      <c r="AC233" s="35"/>
      <c r="AD233" s="33"/>
      <c r="AE233" s="36" t="str">
        <f aca="false">IF($B233="","",IF(OR($H233="Nonconformity (process)",$S233="Yes",AND(ISNUMBER($W233),$W233&gt;=Settings!$C$20)),"YES – required","No"))</f>
        <v/>
      </c>
      <c r="AF233" s="33"/>
      <c r="AG233" s="33"/>
      <c r="AH233" s="32"/>
      <c r="AI233" s="33"/>
      <c r="AJ233" s="32"/>
      <c r="AK233" s="31" t="str">
        <f aca="false">IF(OR($B233="",$AJ233=""),"",$AJ233-$B233)</f>
        <v/>
      </c>
      <c r="AL233" s="31" t="str">
        <f aca="false">IF($X233="","",INDEX(Settings!$C$15:$C$17,MATCH($X233,Settings!$B$15:$B$17,0)))</f>
        <v/>
      </c>
      <c r="AM233" s="36" t="str">
        <f aca="true">IF($B233="","",IF($AH233="","No due date",IF($AI233="Closed",IF($AJ233="","Missing close date",IF($AJ233&lt;=$AH233,"On time","Late")),IF(TODAY()&gt;$AH233,"OVERDUE","In progress"))))</f>
        <v/>
      </c>
      <c r="AN233" s="35"/>
    </row>
    <row r="234" customFormat="false" ht="27.75" hidden="false" customHeight="true" outlineLevel="0" collapsed="false">
      <c r="A234" s="31" t="str">
        <f aca="false">IF($B234="","",ROW()-4)</f>
        <v/>
      </c>
      <c r="B234" s="32"/>
      <c r="C234" s="32"/>
      <c r="D234" s="33"/>
      <c r="E234" s="33"/>
      <c r="F234" s="33"/>
      <c r="G234" s="34"/>
      <c r="H234" s="33"/>
      <c r="I234" s="33"/>
      <c r="J234" s="33"/>
      <c r="K234" s="33"/>
      <c r="L234" s="35"/>
      <c r="M234" s="33"/>
      <c r="N234" s="33"/>
      <c r="O234" s="33"/>
      <c r="P234" s="33"/>
      <c r="Q234" s="35"/>
      <c r="R234" s="33"/>
      <c r="S234" s="33"/>
      <c r="T234" s="33"/>
      <c r="U234" s="33"/>
      <c r="V234" s="33"/>
      <c r="W234" s="31" t="str">
        <f aca="false">IF(OR($T234="",$U234="",$V234=""),"",$T234*$U234*$V234)</f>
        <v/>
      </c>
      <c r="X234" s="36" t="str">
        <f aca="false">IF($W234="","",IF($T234=5,"High",IF($W234&gt;=Settings!$C$20,"High",IF(OR($W234&gt;=Settings!$C$21,$T234=4),"Medium","Low"))))</f>
        <v/>
      </c>
      <c r="Y234" s="34"/>
      <c r="Z234" s="37" t="str">
        <f aca="false">IF($O234="","",$O234*Settings!$C$5)</f>
        <v/>
      </c>
      <c r="AA234" s="37" t="n">
        <f aca="false">IF(OR($H234&lt;&gt;"Complaint",$P234&lt;&gt;"Upheld",$T234=""),0,IF($G234="",Settings!$C$6,$G234)*INDEX(Settings!$C$8:$C$12,6-$T234))</f>
        <v>0</v>
      </c>
      <c r="AB234" s="37" t="str">
        <f aca="false">IF($B234="","",IF($Y234="",0,$Y234)+IF($Z234="",0,$Z234)+IF($AA234="",0,$AA234))</f>
        <v/>
      </c>
      <c r="AC234" s="35"/>
      <c r="AD234" s="33"/>
      <c r="AE234" s="36" t="str">
        <f aca="false">IF($B234="","",IF(OR($H234="Nonconformity (process)",$S234="Yes",AND(ISNUMBER($W234),$W234&gt;=Settings!$C$20)),"YES – required","No"))</f>
        <v/>
      </c>
      <c r="AF234" s="33"/>
      <c r="AG234" s="33"/>
      <c r="AH234" s="32"/>
      <c r="AI234" s="33"/>
      <c r="AJ234" s="32"/>
      <c r="AK234" s="31" t="str">
        <f aca="false">IF(OR($B234="",$AJ234=""),"",$AJ234-$B234)</f>
        <v/>
      </c>
      <c r="AL234" s="31" t="str">
        <f aca="false">IF($X234="","",INDEX(Settings!$C$15:$C$17,MATCH($X234,Settings!$B$15:$B$17,0)))</f>
        <v/>
      </c>
      <c r="AM234" s="36" t="str">
        <f aca="true">IF($B234="","",IF($AH234="","No due date",IF($AI234="Closed",IF($AJ234="","Missing close date",IF($AJ234&lt;=$AH234,"On time","Late")),IF(TODAY()&gt;$AH234,"OVERDUE","In progress"))))</f>
        <v/>
      </c>
      <c r="AN234" s="35"/>
    </row>
    <row r="235" customFormat="false" ht="27.75" hidden="false" customHeight="true" outlineLevel="0" collapsed="false">
      <c r="A235" s="31" t="str">
        <f aca="false">IF($B235="","",ROW()-4)</f>
        <v/>
      </c>
      <c r="B235" s="32"/>
      <c r="C235" s="32"/>
      <c r="D235" s="33"/>
      <c r="E235" s="33"/>
      <c r="F235" s="33"/>
      <c r="G235" s="34"/>
      <c r="H235" s="33"/>
      <c r="I235" s="33"/>
      <c r="J235" s="33"/>
      <c r="K235" s="33"/>
      <c r="L235" s="35"/>
      <c r="M235" s="33"/>
      <c r="N235" s="33"/>
      <c r="O235" s="33"/>
      <c r="P235" s="33"/>
      <c r="Q235" s="35"/>
      <c r="R235" s="33"/>
      <c r="S235" s="33"/>
      <c r="T235" s="33"/>
      <c r="U235" s="33"/>
      <c r="V235" s="33"/>
      <c r="W235" s="31" t="str">
        <f aca="false">IF(OR($T235="",$U235="",$V235=""),"",$T235*$U235*$V235)</f>
        <v/>
      </c>
      <c r="X235" s="36" t="str">
        <f aca="false">IF($W235="","",IF($T235=5,"High",IF($W235&gt;=Settings!$C$20,"High",IF(OR($W235&gt;=Settings!$C$21,$T235=4),"Medium","Low"))))</f>
        <v/>
      </c>
      <c r="Y235" s="34"/>
      <c r="Z235" s="37" t="str">
        <f aca="false">IF($O235="","",$O235*Settings!$C$5)</f>
        <v/>
      </c>
      <c r="AA235" s="37" t="n">
        <f aca="false">IF(OR($H235&lt;&gt;"Complaint",$P235&lt;&gt;"Upheld",$T235=""),0,IF($G235="",Settings!$C$6,$G235)*INDEX(Settings!$C$8:$C$12,6-$T235))</f>
        <v>0</v>
      </c>
      <c r="AB235" s="37" t="str">
        <f aca="false">IF($B235="","",IF($Y235="",0,$Y235)+IF($Z235="",0,$Z235)+IF($AA235="",0,$AA235))</f>
        <v/>
      </c>
      <c r="AC235" s="35"/>
      <c r="AD235" s="33"/>
      <c r="AE235" s="36" t="str">
        <f aca="false">IF($B235="","",IF(OR($H235="Nonconformity (process)",$S235="Yes",AND(ISNUMBER($W235),$W235&gt;=Settings!$C$20)),"YES – required","No"))</f>
        <v/>
      </c>
      <c r="AF235" s="33"/>
      <c r="AG235" s="33"/>
      <c r="AH235" s="32"/>
      <c r="AI235" s="33"/>
      <c r="AJ235" s="32"/>
      <c r="AK235" s="31" t="str">
        <f aca="false">IF(OR($B235="",$AJ235=""),"",$AJ235-$B235)</f>
        <v/>
      </c>
      <c r="AL235" s="31" t="str">
        <f aca="false">IF($X235="","",INDEX(Settings!$C$15:$C$17,MATCH($X235,Settings!$B$15:$B$17,0)))</f>
        <v/>
      </c>
      <c r="AM235" s="36" t="str">
        <f aca="true">IF($B235="","",IF($AH235="","No due date",IF($AI235="Closed",IF($AJ235="","Missing close date",IF($AJ235&lt;=$AH235,"On time","Late")),IF(TODAY()&gt;$AH235,"OVERDUE","In progress"))))</f>
        <v/>
      </c>
      <c r="AN235" s="35"/>
    </row>
    <row r="236" customFormat="false" ht="27.75" hidden="false" customHeight="true" outlineLevel="0" collapsed="false">
      <c r="A236" s="31" t="str">
        <f aca="false">IF($B236="","",ROW()-4)</f>
        <v/>
      </c>
      <c r="B236" s="32"/>
      <c r="C236" s="32"/>
      <c r="D236" s="33"/>
      <c r="E236" s="33"/>
      <c r="F236" s="33"/>
      <c r="G236" s="34"/>
      <c r="H236" s="33"/>
      <c r="I236" s="33"/>
      <c r="J236" s="33"/>
      <c r="K236" s="33"/>
      <c r="L236" s="35"/>
      <c r="M236" s="33"/>
      <c r="N236" s="33"/>
      <c r="O236" s="33"/>
      <c r="P236" s="33"/>
      <c r="Q236" s="35"/>
      <c r="R236" s="33"/>
      <c r="S236" s="33"/>
      <c r="T236" s="33"/>
      <c r="U236" s="33"/>
      <c r="V236" s="33"/>
      <c r="W236" s="31" t="str">
        <f aca="false">IF(OR($T236="",$U236="",$V236=""),"",$T236*$U236*$V236)</f>
        <v/>
      </c>
      <c r="X236" s="36" t="str">
        <f aca="false">IF($W236="","",IF($T236=5,"High",IF($W236&gt;=Settings!$C$20,"High",IF(OR($W236&gt;=Settings!$C$21,$T236=4),"Medium","Low"))))</f>
        <v/>
      </c>
      <c r="Y236" s="34"/>
      <c r="Z236" s="37" t="str">
        <f aca="false">IF($O236="","",$O236*Settings!$C$5)</f>
        <v/>
      </c>
      <c r="AA236" s="37" t="n">
        <f aca="false">IF(OR($H236&lt;&gt;"Complaint",$P236&lt;&gt;"Upheld",$T236=""),0,IF($G236="",Settings!$C$6,$G236)*INDEX(Settings!$C$8:$C$12,6-$T236))</f>
        <v>0</v>
      </c>
      <c r="AB236" s="37" t="str">
        <f aca="false">IF($B236="","",IF($Y236="",0,$Y236)+IF($Z236="",0,$Z236)+IF($AA236="",0,$AA236))</f>
        <v/>
      </c>
      <c r="AC236" s="35"/>
      <c r="AD236" s="33"/>
      <c r="AE236" s="36" t="str">
        <f aca="false">IF($B236="","",IF(OR($H236="Nonconformity (process)",$S236="Yes",AND(ISNUMBER($W236),$W236&gt;=Settings!$C$20)),"YES – required","No"))</f>
        <v/>
      </c>
      <c r="AF236" s="33"/>
      <c r="AG236" s="33"/>
      <c r="AH236" s="32"/>
      <c r="AI236" s="33"/>
      <c r="AJ236" s="32"/>
      <c r="AK236" s="31" t="str">
        <f aca="false">IF(OR($B236="",$AJ236=""),"",$AJ236-$B236)</f>
        <v/>
      </c>
      <c r="AL236" s="31" t="str">
        <f aca="false">IF($X236="","",INDEX(Settings!$C$15:$C$17,MATCH($X236,Settings!$B$15:$B$17,0)))</f>
        <v/>
      </c>
      <c r="AM236" s="36" t="str">
        <f aca="true">IF($B236="","",IF($AH236="","No due date",IF($AI236="Closed",IF($AJ236="","Missing close date",IF($AJ236&lt;=$AH236,"On time","Late")),IF(TODAY()&gt;$AH236,"OVERDUE","In progress"))))</f>
        <v/>
      </c>
      <c r="AN236" s="35"/>
    </row>
    <row r="237" customFormat="false" ht="27.75" hidden="false" customHeight="true" outlineLevel="0" collapsed="false">
      <c r="A237" s="31" t="str">
        <f aca="false">IF($B237="","",ROW()-4)</f>
        <v/>
      </c>
      <c r="B237" s="32"/>
      <c r="C237" s="32"/>
      <c r="D237" s="33"/>
      <c r="E237" s="33"/>
      <c r="F237" s="33"/>
      <c r="G237" s="34"/>
      <c r="H237" s="33"/>
      <c r="I237" s="33"/>
      <c r="J237" s="33"/>
      <c r="K237" s="33"/>
      <c r="L237" s="35"/>
      <c r="M237" s="33"/>
      <c r="N237" s="33"/>
      <c r="O237" s="33"/>
      <c r="P237" s="33"/>
      <c r="Q237" s="35"/>
      <c r="R237" s="33"/>
      <c r="S237" s="33"/>
      <c r="T237" s="33"/>
      <c r="U237" s="33"/>
      <c r="V237" s="33"/>
      <c r="W237" s="31" t="str">
        <f aca="false">IF(OR($T237="",$U237="",$V237=""),"",$T237*$U237*$V237)</f>
        <v/>
      </c>
      <c r="X237" s="36" t="str">
        <f aca="false">IF($W237="","",IF($T237=5,"High",IF($W237&gt;=Settings!$C$20,"High",IF(OR($W237&gt;=Settings!$C$21,$T237=4),"Medium","Low"))))</f>
        <v/>
      </c>
      <c r="Y237" s="34"/>
      <c r="Z237" s="37" t="str">
        <f aca="false">IF($O237="","",$O237*Settings!$C$5)</f>
        <v/>
      </c>
      <c r="AA237" s="37" t="n">
        <f aca="false">IF(OR($H237&lt;&gt;"Complaint",$P237&lt;&gt;"Upheld",$T237=""),0,IF($G237="",Settings!$C$6,$G237)*INDEX(Settings!$C$8:$C$12,6-$T237))</f>
        <v>0</v>
      </c>
      <c r="AB237" s="37" t="str">
        <f aca="false">IF($B237="","",IF($Y237="",0,$Y237)+IF($Z237="",0,$Z237)+IF($AA237="",0,$AA237))</f>
        <v/>
      </c>
      <c r="AC237" s="35"/>
      <c r="AD237" s="33"/>
      <c r="AE237" s="36" t="str">
        <f aca="false">IF($B237="","",IF(OR($H237="Nonconformity (process)",$S237="Yes",AND(ISNUMBER($W237),$W237&gt;=Settings!$C$20)),"YES – required","No"))</f>
        <v/>
      </c>
      <c r="AF237" s="33"/>
      <c r="AG237" s="33"/>
      <c r="AH237" s="32"/>
      <c r="AI237" s="33"/>
      <c r="AJ237" s="32"/>
      <c r="AK237" s="31" t="str">
        <f aca="false">IF(OR($B237="",$AJ237=""),"",$AJ237-$B237)</f>
        <v/>
      </c>
      <c r="AL237" s="31" t="str">
        <f aca="false">IF($X237="","",INDEX(Settings!$C$15:$C$17,MATCH($X237,Settings!$B$15:$B$17,0)))</f>
        <v/>
      </c>
      <c r="AM237" s="36" t="str">
        <f aca="true">IF($B237="","",IF($AH237="","No due date",IF($AI237="Closed",IF($AJ237="","Missing close date",IF($AJ237&lt;=$AH237,"On time","Late")),IF(TODAY()&gt;$AH237,"OVERDUE","In progress"))))</f>
        <v/>
      </c>
      <c r="AN237" s="35"/>
    </row>
    <row r="238" customFormat="false" ht="27.75" hidden="false" customHeight="true" outlineLevel="0" collapsed="false">
      <c r="A238" s="31" t="str">
        <f aca="false">IF($B238="","",ROW()-4)</f>
        <v/>
      </c>
      <c r="B238" s="32"/>
      <c r="C238" s="32"/>
      <c r="D238" s="33"/>
      <c r="E238" s="33"/>
      <c r="F238" s="33"/>
      <c r="G238" s="34"/>
      <c r="H238" s="33"/>
      <c r="I238" s="33"/>
      <c r="J238" s="33"/>
      <c r="K238" s="33"/>
      <c r="L238" s="35"/>
      <c r="M238" s="33"/>
      <c r="N238" s="33"/>
      <c r="O238" s="33"/>
      <c r="P238" s="33"/>
      <c r="Q238" s="35"/>
      <c r="R238" s="33"/>
      <c r="S238" s="33"/>
      <c r="T238" s="33"/>
      <c r="U238" s="33"/>
      <c r="V238" s="33"/>
      <c r="W238" s="31" t="str">
        <f aca="false">IF(OR($T238="",$U238="",$V238=""),"",$T238*$U238*$V238)</f>
        <v/>
      </c>
      <c r="X238" s="36" t="str">
        <f aca="false">IF($W238="","",IF($T238=5,"High",IF($W238&gt;=Settings!$C$20,"High",IF(OR($W238&gt;=Settings!$C$21,$T238=4),"Medium","Low"))))</f>
        <v/>
      </c>
      <c r="Y238" s="34"/>
      <c r="Z238" s="37" t="str">
        <f aca="false">IF($O238="","",$O238*Settings!$C$5)</f>
        <v/>
      </c>
      <c r="AA238" s="37" t="n">
        <f aca="false">IF(OR($H238&lt;&gt;"Complaint",$P238&lt;&gt;"Upheld",$T238=""),0,IF($G238="",Settings!$C$6,$G238)*INDEX(Settings!$C$8:$C$12,6-$T238))</f>
        <v>0</v>
      </c>
      <c r="AB238" s="37" t="str">
        <f aca="false">IF($B238="","",IF($Y238="",0,$Y238)+IF($Z238="",0,$Z238)+IF($AA238="",0,$AA238))</f>
        <v/>
      </c>
      <c r="AC238" s="35"/>
      <c r="AD238" s="33"/>
      <c r="AE238" s="36" t="str">
        <f aca="false">IF($B238="","",IF(OR($H238="Nonconformity (process)",$S238="Yes",AND(ISNUMBER($W238),$W238&gt;=Settings!$C$20)),"YES – required","No"))</f>
        <v/>
      </c>
      <c r="AF238" s="33"/>
      <c r="AG238" s="33"/>
      <c r="AH238" s="32"/>
      <c r="AI238" s="33"/>
      <c r="AJ238" s="32"/>
      <c r="AK238" s="31" t="str">
        <f aca="false">IF(OR($B238="",$AJ238=""),"",$AJ238-$B238)</f>
        <v/>
      </c>
      <c r="AL238" s="31" t="str">
        <f aca="false">IF($X238="","",INDEX(Settings!$C$15:$C$17,MATCH($X238,Settings!$B$15:$B$17,0)))</f>
        <v/>
      </c>
      <c r="AM238" s="36" t="str">
        <f aca="true">IF($B238="","",IF($AH238="","No due date",IF($AI238="Closed",IF($AJ238="","Missing close date",IF($AJ238&lt;=$AH238,"On time","Late")),IF(TODAY()&gt;$AH238,"OVERDUE","In progress"))))</f>
        <v/>
      </c>
      <c r="AN238" s="35"/>
    </row>
    <row r="239" customFormat="false" ht="27.75" hidden="false" customHeight="true" outlineLevel="0" collapsed="false">
      <c r="A239" s="31" t="str">
        <f aca="false">IF($B239="","",ROW()-4)</f>
        <v/>
      </c>
      <c r="B239" s="32"/>
      <c r="C239" s="32"/>
      <c r="D239" s="33"/>
      <c r="E239" s="33"/>
      <c r="F239" s="33"/>
      <c r="G239" s="34"/>
      <c r="H239" s="33"/>
      <c r="I239" s="33"/>
      <c r="J239" s="33"/>
      <c r="K239" s="33"/>
      <c r="L239" s="35"/>
      <c r="M239" s="33"/>
      <c r="N239" s="33"/>
      <c r="O239" s="33"/>
      <c r="P239" s="33"/>
      <c r="Q239" s="35"/>
      <c r="R239" s="33"/>
      <c r="S239" s="33"/>
      <c r="T239" s="33"/>
      <c r="U239" s="33"/>
      <c r="V239" s="33"/>
      <c r="W239" s="31" t="str">
        <f aca="false">IF(OR($T239="",$U239="",$V239=""),"",$T239*$U239*$V239)</f>
        <v/>
      </c>
      <c r="X239" s="36" t="str">
        <f aca="false">IF($W239="","",IF($T239=5,"High",IF($W239&gt;=Settings!$C$20,"High",IF(OR($W239&gt;=Settings!$C$21,$T239=4),"Medium","Low"))))</f>
        <v/>
      </c>
      <c r="Y239" s="34"/>
      <c r="Z239" s="37" t="str">
        <f aca="false">IF($O239="","",$O239*Settings!$C$5)</f>
        <v/>
      </c>
      <c r="AA239" s="37" t="n">
        <f aca="false">IF(OR($H239&lt;&gt;"Complaint",$P239&lt;&gt;"Upheld",$T239=""),0,IF($G239="",Settings!$C$6,$G239)*INDEX(Settings!$C$8:$C$12,6-$T239))</f>
        <v>0</v>
      </c>
      <c r="AB239" s="37" t="str">
        <f aca="false">IF($B239="","",IF($Y239="",0,$Y239)+IF($Z239="",0,$Z239)+IF($AA239="",0,$AA239))</f>
        <v/>
      </c>
      <c r="AC239" s="35"/>
      <c r="AD239" s="33"/>
      <c r="AE239" s="36" t="str">
        <f aca="false">IF($B239="","",IF(OR($H239="Nonconformity (process)",$S239="Yes",AND(ISNUMBER($W239),$W239&gt;=Settings!$C$20)),"YES – required","No"))</f>
        <v/>
      </c>
      <c r="AF239" s="33"/>
      <c r="AG239" s="33"/>
      <c r="AH239" s="32"/>
      <c r="AI239" s="33"/>
      <c r="AJ239" s="32"/>
      <c r="AK239" s="31" t="str">
        <f aca="false">IF(OR($B239="",$AJ239=""),"",$AJ239-$B239)</f>
        <v/>
      </c>
      <c r="AL239" s="31" t="str">
        <f aca="false">IF($X239="","",INDEX(Settings!$C$15:$C$17,MATCH($X239,Settings!$B$15:$B$17,0)))</f>
        <v/>
      </c>
      <c r="AM239" s="36" t="str">
        <f aca="true">IF($B239="","",IF($AH239="","No due date",IF($AI239="Closed",IF($AJ239="","Missing close date",IF($AJ239&lt;=$AH239,"On time","Late")),IF(TODAY()&gt;$AH239,"OVERDUE","In progress"))))</f>
        <v/>
      </c>
      <c r="AN239" s="35"/>
    </row>
    <row r="240" customFormat="false" ht="27.75" hidden="false" customHeight="true" outlineLevel="0" collapsed="false">
      <c r="A240" s="31" t="str">
        <f aca="false">IF($B240="","",ROW()-4)</f>
        <v/>
      </c>
      <c r="B240" s="32"/>
      <c r="C240" s="32"/>
      <c r="D240" s="33"/>
      <c r="E240" s="33"/>
      <c r="F240" s="33"/>
      <c r="G240" s="34"/>
      <c r="H240" s="33"/>
      <c r="I240" s="33"/>
      <c r="J240" s="33"/>
      <c r="K240" s="33"/>
      <c r="L240" s="35"/>
      <c r="M240" s="33"/>
      <c r="N240" s="33"/>
      <c r="O240" s="33"/>
      <c r="P240" s="33"/>
      <c r="Q240" s="35"/>
      <c r="R240" s="33"/>
      <c r="S240" s="33"/>
      <c r="T240" s="33"/>
      <c r="U240" s="33"/>
      <c r="V240" s="33"/>
      <c r="W240" s="31" t="str">
        <f aca="false">IF(OR($T240="",$U240="",$V240=""),"",$T240*$U240*$V240)</f>
        <v/>
      </c>
      <c r="X240" s="36" t="str">
        <f aca="false">IF($W240="","",IF($T240=5,"High",IF($W240&gt;=Settings!$C$20,"High",IF(OR($W240&gt;=Settings!$C$21,$T240=4),"Medium","Low"))))</f>
        <v/>
      </c>
      <c r="Y240" s="34"/>
      <c r="Z240" s="37" t="str">
        <f aca="false">IF($O240="","",$O240*Settings!$C$5)</f>
        <v/>
      </c>
      <c r="AA240" s="37" t="n">
        <f aca="false">IF(OR($H240&lt;&gt;"Complaint",$P240&lt;&gt;"Upheld",$T240=""),0,IF($G240="",Settings!$C$6,$G240)*INDEX(Settings!$C$8:$C$12,6-$T240))</f>
        <v>0</v>
      </c>
      <c r="AB240" s="37" t="str">
        <f aca="false">IF($B240="","",IF($Y240="",0,$Y240)+IF($Z240="",0,$Z240)+IF($AA240="",0,$AA240))</f>
        <v/>
      </c>
      <c r="AC240" s="35"/>
      <c r="AD240" s="33"/>
      <c r="AE240" s="36" t="str">
        <f aca="false">IF($B240="","",IF(OR($H240="Nonconformity (process)",$S240="Yes",AND(ISNUMBER($W240),$W240&gt;=Settings!$C$20)),"YES – required","No"))</f>
        <v/>
      </c>
      <c r="AF240" s="33"/>
      <c r="AG240" s="33"/>
      <c r="AH240" s="32"/>
      <c r="AI240" s="33"/>
      <c r="AJ240" s="32"/>
      <c r="AK240" s="31" t="str">
        <f aca="false">IF(OR($B240="",$AJ240=""),"",$AJ240-$B240)</f>
        <v/>
      </c>
      <c r="AL240" s="31" t="str">
        <f aca="false">IF($X240="","",INDEX(Settings!$C$15:$C$17,MATCH($X240,Settings!$B$15:$B$17,0)))</f>
        <v/>
      </c>
      <c r="AM240" s="36" t="str">
        <f aca="true">IF($B240="","",IF($AH240="","No due date",IF($AI240="Closed",IF($AJ240="","Missing close date",IF($AJ240&lt;=$AH240,"On time","Late")),IF(TODAY()&gt;$AH240,"OVERDUE","In progress"))))</f>
        <v/>
      </c>
      <c r="AN240" s="35"/>
    </row>
    <row r="241" customFormat="false" ht="27.75" hidden="false" customHeight="true" outlineLevel="0" collapsed="false">
      <c r="A241" s="31" t="str">
        <f aca="false">IF($B241="","",ROW()-4)</f>
        <v/>
      </c>
      <c r="B241" s="32"/>
      <c r="C241" s="32"/>
      <c r="D241" s="33"/>
      <c r="E241" s="33"/>
      <c r="F241" s="33"/>
      <c r="G241" s="34"/>
      <c r="H241" s="33"/>
      <c r="I241" s="33"/>
      <c r="J241" s="33"/>
      <c r="K241" s="33"/>
      <c r="L241" s="35"/>
      <c r="M241" s="33"/>
      <c r="N241" s="33"/>
      <c r="O241" s="33"/>
      <c r="P241" s="33"/>
      <c r="Q241" s="35"/>
      <c r="R241" s="33"/>
      <c r="S241" s="33"/>
      <c r="T241" s="33"/>
      <c r="U241" s="33"/>
      <c r="V241" s="33"/>
      <c r="W241" s="31" t="str">
        <f aca="false">IF(OR($T241="",$U241="",$V241=""),"",$T241*$U241*$V241)</f>
        <v/>
      </c>
      <c r="X241" s="36" t="str">
        <f aca="false">IF($W241="","",IF($T241=5,"High",IF($W241&gt;=Settings!$C$20,"High",IF(OR($W241&gt;=Settings!$C$21,$T241=4),"Medium","Low"))))</f>
        <v/>
      </c>
      <c r="Y241" s="34"/>
      <c r="Z241" s="37" t="str">
        <f aca="false">IF($O241="","",$O241*Settings!$C$5)</f>
        <v/>
      </c>
      <c r="AA241" s="37" t="n">
        <f aca="false">IF(OR($H241&lt;&gt;"Complaint",$P241&lt;&gt;"Upheld",$T241=""),0,IF($G241="",Settings!$C$6,$G241)*INDEX(Settings!$C$8:$C$12,6-$T241))</f>
        <v>0</v>
      </c>
      <c r="AB241" s="37" t="str">
        <f aca="false">IF($B241="","",IF($Y241="",0,$Y241)+IF($Z241="",0,$Z241)+IF($AA241="",0,$AA241))</f>
        <v/>
      </c>
      <c r="AC241" s="35"/>
      <c r="AD241" s="33"/>
      <c r="AE241" s="36" t="str">
        <f aca="false">IF($B241="","",IF(OR($H241="Nonconformity (process)",$S241="Yes",AND(ISNUMBER($W241),$W241&gt;=Settings!$C$20)),"YES – required","No"))</f>
        <v/>
      </c>
      <c r="AF241" s="33"/>
      <c r="AG241" s="33"/>
      <c r="AH241" s="32"/>
      <c r="AI241" s="33"/>
      <c r="AJ241" s="32"/>
      <c r="AK241" s="31" t="str">
        <f aca="false">IF(OR($B241="",$AJ241=""),"",$AJ241-$B241)</f>
        <v/>
      </c>
      <c r="AL241" s="31" t="str">
        <f aca="false">IF($X241="","",INDEX(Settings!$C$15:$C$17,MATCH($X241,Settings!$B$15:$B$17,0)))</f>
        <v/>
      </c>
      <c r="AM241" s="36" t="str">
        <f aca="true">IF($B241="","",IF($AH241="","No due date",IF($AI241="Closed",IF($AJ241="","Missing close date",IF($AJ241&lt;=$AH241,"On time","Late")),IF(TODAY()&gt;$AH241,"OVERDUE","In progress"))))</f>
        <v/>
      </c>
      <c r="AN241" s="35"/>
    </row>
    <row r="242" customFormat="false" ht="27.75" hidden="false" customHeight="true" outlineLevel="0" collapsed="false">
      <c r="A242" s="31" t="str">
        <f aca="false">IF($B242="","",ROW()-4)</f>
        <v/>
      </c>
      <c r="B242" s="32"/>
      <c r="C242" s="32"/>
      <c r="D242" s="33"/>
      <c r="E242" s="33"/>
      <c r="F242" s="33"/>
      <c r="G242" s="34"/>
      <c r="H242" s="33"/>
      <c r="I242" s="33"/>
      <c r="J242" s="33"/>
      <c r="K242" s="33"/>
      <c r="L242" s="35"/>
      <c r="M242" s="33"/>
      <c r="N242" s="33"/>
      <c r="O242" s="33"/>
      <c r="P242" s="33"/>
      <c r="Q242" s="35"/>
      <c r="R242" s="33"/>
      <c r="S242" s="33"/>
      <c r="T242" s="33"/>
      <c r="U242" s="33"/>
      <c r="V242" s="33"/>
      <c r="W242" s="31" t="str">
        <f aca="false">IF(OR($T242="",$U242="",$V242=""),"",$T242*$U242*$V242)</f>
        <v/>
      </c>
      <c r="X242" s="36" t="str">
        <f aca="false">IF($W242="","",IF($T242=5,"High",IF($W242&gt;=Settings!$C$20,"High",IF(OR($W242&gt;=Settings!$C$21,$T242=4),"Medium","Low"))))</f>
        <v/>
      </c>
      <c r="Y242" s="34"/>
      <c r="Z242" s="37" t="str">
        <f aca="false">IF($O242="","",$O242*Settings!$C$5)</f>
        <v/>
      </c>
      <c r="AA242" s="37" t="n">
        <f aca="false">IF(OR($H242&lt;&gt;"Complaint",$P242&lt;&gt;"Upheld",$T242=""),0,IF($G242="",Settings!$C$6,$G242)*INDEX(Settings!$C$8:$C$12,6-$T242))</f>
        <v>0</v>
      </c>
      <c r="AB242" s="37" t="str">
        <f aca="false">IF($B242="","",IF($Y242="",0,$Y242)+IF($Z242="",0,$Z242)+IF($AA242="",0,$AA242))</f>
        <v/>
      </c>
      <c r="AC242" s="35"/>
      <c r="AD242" s="33"/>
      <c r="AE242" s="36" t="str">
        <f aca="false">IF($B242="","",IF(OR($H242="Nonconformity (process)",$S242="Yes",AND(ISNUMBER($W242),$W242&gt;=Settings!$C$20)),"YES – required","No"))</f>
        <v/>
      </c>
      <c r="AF242" s="33"/>
      <c r="AG242" s="33"/>
      <c r="AH242" s="32"/>
      <c r="AI242" s="33"/>
      <c r="AJ242" s="32"/>
      <c r="AK242" s="31" t="str">
        <f aca="false">IF(OR($B242="",$AJ242=""),"",$AJ242-$B242)</f>
        <v/>
      </c>
      <c r="AL242" s="31" t="str">
        <f aca="false">IF($X242="","",INDEX(Settings!$C$15:$C$17,MATCH($X242,Settings!$B$15:$B$17,0)))</f>
        <v/>
      </c>
      <c r="AM242" s="36" t="str">
        <f aca="true">IF($B242="","",IF($AH242="","No due date",IF($AI242="Closed",IF($AJ242="","Missing close date",IF($AJ242&lt;=$AH242,"On time","Late")),IF(TODAY()&gt;$AH242,"OVERDUE","In progress"))))</f>
        <v/>
      </c>
      <c r="AN242" s="35"/>
    </row>
    <row r="243" customFormat="false" ht="27.75" hidden="false" customHeight="true" outlineLevel="0" collapsed="false">
      <c r="A243" s="31" t="str">
        <f aca="false">IF($B243="","",ROW()-4)</f>
        <v/>
      </c>
      <c r="B243" s="32"/>
      <c r="C243" s="32"/>
      <c r="D243" s="33"/>
      <c r="E243" s="33"/>
      <c r="F243" s="33"/>
      <c r="G243" s="34"/>
      <c r="H243" s="33"/>
      <c r="I243" s="33"/>
      <c r="J243" s="33"/>
      <c r="K243" s="33"/>
      <c r="L243" s="35"/>
      <c r="M243" s="33"/>
      <c r="N243" s="33"/>
      <c r="O243" s="33"/>
      <c r="P243" s="33"/>
      <c r="Q243" s="35"/>
      <c r="R243" s="33"/>
      <c r="S243" s="33"/>
      <c r="T243" s="33"/>
      <c r="U243" s="33"/>
      <c r="V243" s="33"/>
      <c r="W243" s="31" t="str">
        <f aca="false">IF(OR($T243="",$U243="",$V243=""),"",$T243*$U243*$V243)</f>
        <v/>
      </c>
      <c r="X243" s="36" t="str">
        <f aca="false">IF($W243="","",IF($T243=5,"High",IF($W243&gt;=Settings!$C$20,"High",IF(OR($W243&gt;=Settings!$C$21,$T243=4),"Medium","Low"))))</f>
        <v/>
      </c>
      <c r="Y243" s="34"/>
      <c r="Z243" s="37" t="str">
        <f aca="false">IF($O243="","",$O243*Settings!$C$5)</f>
        <v/>
      </c>
      <c r="AA243" s="37" t="n">
        <f aca="false">IF(OR($H243&lt;&gt;"Complaint",$P243&lt;&gt;"Upheld",$T243=""),0,IF($G243="",Settings!$C$6,$G243)*INDEX(Settings!$C$8:$C$12,6-$T243))</f>
        <v>0</v>
      </c>
      <c r="AB243" s="37" t="str">
        <f aca="false">IF($B243="","",IF($Y243="",0,$Y243)+IF($Z243="",0,$Z243)+IF($AA243="",0,$AA243))</f>
        <v/>
      </c>
      <c r="AC243" s="35"/>
      <c r="AD243" s="33"/>
      <c r="AE243" s="36" t="str">
        <f aca="false">IF($B243="","",IF(OR($H243="Nonconformity (process)",$S243="Yes",AND(ISNUMBER($W243),$W243&gt;=Settings!$C$20)),"YES – required","No"))</f>
        <v/>
      </c>
      <c r="AF243" s="33"/>
      <c r="AG243" s="33"/>
      <c r="AH243" s="32"/>
      <c r="AI243" s="33"/>
      <c r="AJ243" s="32"/>
      <c r="AK243" s="31" t="str">
        <f aca="false">IF(OR($B243="",$AJ243=""),"",$AJ243-$B243)</f>
        <v/>
      </c>
      <c r="AL243" s="31" t="str">
        <f aca="false">IF($X243="","",INDEX(Settings!$C$15:$C$17,MATCH($X243,Settings!$B$15:$B$17,0)))</f>
        <v/>
      </c>
      <c r="AM243" s="36" t="str">
        <f aca="true">IF($B243="","",IF($AH243="","No due date",IF($AI243="Closed",IF($AJ243="","Missing close date",IF($AJ243&lt;=$AH243,"On time","Late")),IF(TODAY()&gt;$AH243,"OVERDUE","In progress"))))</f>
        <v/>
      </c>
      <c r="AN243" s="35"/>
    </row>
    <row r="244" customFormat="false" ht="27.75" hidden="false" customHeight="true" outlineLevel="0" collapsed="false">
      <c r="A244" s="31" t="str">
        <f aca="false">IF($B244="","",ROW()-4)</f>
        <v/>
      </c>
      <c r="B244" s="32"/>
      <c r="C244" s="32"/>
      <c r="D244" s="33"/>
      <c r="E244" s="33"/>
      <c r="F244" s="33"/>
      <c r="G244" s="34"/>
      <c r="H244" s="33"/>
      <c r="I244" s="33"/>
      <c r="J244" s="33"/>
      <c r="K244" s="33"/>
      <c r="L244" s="35"/>
      <c r="M244" s="33"/>
      <c r="N244" s="33"/>
      <c r="O244" s="33"/>
      <c r="P244" s="33"/>
      <c r="Q244" s="35"/>
      <c r="R244" s="33"/>
      <c r="S244" s="33"/>
      <c r="T244" s="33"/>
      <c r="U244" s="33"/>
      <c r="V244" s="33"/>
      <c r="W244" s="31" t="str">
        <f aca="false">IF(OR($T244="",$U244="",$V244=""),"",$T244*$U244*$V244)</f>
        <v/>
      </c>
      <c r="X244" s="36" t="str">
        <f aca="false">IF($W244="","",IF($T244=5,"High",IF($W244&gt;=Settings!$C$20,"High",IF(OR($W244&gt;=Settings!$C$21,$T244=4),"Medium","Low"))))</f>
        <v/>
      </c>
      <c r="Y244" s="34"/>
      <c r="Z244" s="37" t="str">
        <f aca="false">IF($O244="","",$O244*Settings!$C$5)</f>
        <v/>
      </c>
      <c r="AA244" s="37" t="n">
        <f aca="false">IF(OR($H244&lt;&gt;"Complaint",$P244&lt;&gt;"Upheld",$T244=""),0,IF($G244="",Settings!$C$6,$G244)*INDEX(Settings!$C$8:$C$12,6-$T244))</f>
        <v>0</v>
      </c>
      <c r="AB244" s="37" t="str">
        <f aca="false">IF($B244="","",IF($Y244="",0,$Y244)+IF($Z244="",0,$Z244)+IF($AA244="",0,$AA244))</f>
        <v/>
      </c>
      <c r="AC244" s="35"/>
      <c r="AD244" s="33"/>
      <c r="AE244" s="36" t="str">
        <f aca="false">IF($B244="","",IF(OR($H244="Nonconformity (process)",$S244="Yes",AND(ISNUMBER($W244),$W244&gt;=Settings!$C$20)),"YES – required","No"))</f>
        <v/>
      </c>
      <c r="AF244" s="33"/>
      <c r="AG244" s="33"/>
      <c r="AH244" s="32"/>
      <c r="AI244" s="33"/>
      <c r="AJ244" s="32"/>
      <c r="AK244" s="31" t="str">
        <f aca="false">IF(OR($B244="",$AJ244=""),"",$AJ244-$B244)</f>
        <v/>
      </c>
      <c r="AL244" s="31" t="str">
        <f aca="false">IF($X244="","",INDEX(Settings!$C$15:$C$17,MATCH($X244,Settings!$B$15:$B$17,0)))</f>
        <v/>
      </c>
      <c r="AM244" s="36" t="str">
        <f aca="true">IF($B244="","",IF($AH244="","No due date",IF($AI244="Closed",IF($AJ244="","Missing close date",IF($AJ244&lt;=$AH244,"On time","Late")),IF(TODAY()&gt;$AH244,"OVERDUE","In progress"))))</f>
        <v/>
      </c>
      <c r="AN244" s="35"/>
    </row>
    <row r="245" customFormat="false" ht="27.75" hidden="false" customHeight="true" outlineLevel="0" collapsed="false">
      <c r="A245" s="31" t="str">
        <f aca="false">IF($B245="","",ROW()-4)</f>
        <v/>
      </c>
      <c r="B245" s="32"/>
      <c r="C245" s="32"/>
      <c r="D245" s="33"/>
      <c r="E245" s="33"/>
      <c r="F245" s="33"/>
      <c r="G245" s="34"/>
      <c r="H245" s="33"/>
      <c r="I245" s="33"/>
      <c r="J245" s="33"/>
      <c r="K245" s="33"/>
      <c r="L245" s="35"/>
      <c r="M245" s="33"/>
      <c r="N245" s="33"/>
      <c r="O245" s="33"/>
      <c r="P245" s="33"/>
      <c r="Q245" s="35"/>
      <c r="R245" s="33"/>
      <c r="S245" s="33"/>
      <c r="T245" s="33"/>
      <c r="U245" s="33"/>
      <c r="V245" s="33"/>
      <c r="W245" s="31" t="str">
        <f aca="false">IF(OR($T245="",$U245="",$V245=""),"",$T245*$U245*$V245)</f>
        <v/>
      </c>
      <c r="X245" s="36" t="str">
        <f aca="false">IF($W245="","",IF($T245=5,"High",IF($W245&gt;=Settings!$C$20,"High",IF(OR($W245&gt;=Settings!$C$21,$T245=4),"Medium","Low"))))</f>
        <v/>
      </c>
      <c r="Y245" s="34"/>
      <c r="Z245" s="37" t="str">
        <f aca="false">IF($O245="","",$O245*Settings!$C$5)</f>
        <v/>
      </c>
      <c r="AA245" s="37" t="n">
        <f aca="false">IF(OR($H245&lt;&gt;"Complaint",$P245&lt;&gt;"Upheld",$T245=""),0,IF($G245="",Settings!$C$6,$G245)*INDEX(Settings!$C$8:$C$12,6-$T245))</f>
        <v>0</v>
      </c>
      <c r="AB245" s="37" t="str">
        <f aca="false">IF($B245="","",IF($Y245="",0,$Y245)+IF($Z245="",0,$Z245)+IF($AA245="",0,$AA245))</f>
        <v/>
      </c>
      <c r="AC245" s="35"/>
      <c r="AD245" s="33"/>
      <c r="AE245" s="36" t="str">
        <f aca="false">IF($B245="","",IF(OR($H245="Nonconformity (process)",$S245="Yes",AND(ISNUMBER($W245),$W245&gt;=Settings!$C$20)),"YES – required","No"))</f>
        <v/>
      </c>
      <c r="AF245" s="33"/>
      <c r="AG245" s="33"/>
      <c r="AH245" s="32"/>
      <c r="AI245" s="33"/>
      <c r="AJ245" s="32"/>
      <c r="AK245" s="31" t="str">
        <f aca="false">IF(OR($B245="",$AJ245=""),"",$AJ245-$B245)</f>
        <v/>
      </c>
      <c r="AL245" s="31" t="str">
        <f aca="false">IF($X245="","",INDEX(Settings!$C$15:$C$17,MATCH($X245,Settings!$B$15:$B$17,0)))</f>
        <v/>
      </c>
      <c r="AM245" s="36" t="str">
        <f aca="true">IF($B245="","",IF($AH245="","No due date",IF($AI245="Closed",IF($AJ245="","Missing close date",IF($AJ245&lt;=$AH245,"On time","Late")),IF(TODAY()&gt;$AH245,"OVERDUE","In progress"))))</f>
        <v/>
      </c>
      <c r="AN245" s="35"/>
    </row>
    <row r="246" customFormat="false" ht="27.75" hidden="false" customHeight="true" outlineLevel="0" collapsed="false">
      <c r="A246" s="31" t="str">
        <f aca="false">IF($B246="","",ROW()-4)</f>
        <v/>
      </c>
      <c r="B246" s="32"/>
      <c r="C246" s="32"/>
      <c r="D246" s="33"/>
      <c r="E246" s="33"/>
      <c r="F246" s="33"/>
      <c r="G246" s="34"/>
      <c r="H246" s="33"/>
      <c r="I246" s="33"/>
      <c r="J246" s="33"/>
      <c r="K246" s="33"/>
      <c r="L246" s="35"/>
      <c r="M246" s="33"/>
      <c r="N246" s="33"/>
      <c r="O246" s="33"/>
      <c r="P246" s="33"/>
      <c r="Q246" s="35"/>
      <c r="R246" s="33"/>
      <c r="S246" s="33"/>
      <c r="T246" s="33"/>
      <c r="U246" s="33"/>
      <c r="V246" s="33"/>
      <c r="W246" s="31" t="str">
        <f aca="false">IF(OR($T246="",$U246="",$V246=""),"",$T246*$U246*$V246)</f>
        <v/>
      </c>
      <c r="X246" s="36" t="str">
        <f aca="false">IF($W246="","",IF($T246=5,"High",IF($W246&gt;=Settings!$C$20,"High",IF(OR($W246&gt;=Settings!$C$21,$T246=4),"Medium","Low"))))</f>
        <v/>
      </c>
      <c r="Y246" s="34"/>
      <c r="Z246" s="37" t="str">
        <f aca="false">IF($O246="","",$O246*Settings!$C$5)</f>
        <v/>
      </c>
      <c r="AA246" s="37" t="n">
        <f aca="false">IF(OR($H246&lt;&gt;"Complaint",$P246&lt;&gt;"Upheld",$T246=""),0,IF($G246="",Settings!$C$6,$G246)*INDEX(Settings!$C$8:$C$12,6-$T246))</f>
        <v>0</v>
      </c>
      <c r="AB246" s="37" t="str">
        <f aca="false">IF($B246="","",IF($Y246="",0,$Y246)+IF($Z246="",0,$Z246)+IF($AA246="",0,$AA246))</f>
        <v/>
      </c>
      <c r="AC246" s="35"/>
      <c r="AD246" s="33"/>
      <c r="AE246" s="36" t="str">
        <f aca="false">IF($B246="","",IF(OR($H246="Nonconformity (process)",$S246="Yes",AND(ISNUMBER($W246),$W246&gt;=Settings!$C$20)),"YES – required","No"))</f>
        <v/>
      </c>
      <c r="AF246" s="33"/>
      <c r="AG246" s="33"/>
      <c r="AH246" s="32"/>
      <c r="AI246" s="33"/>
      <c r="AJ246" s="32"/>
      <c r="AK246" s="31" t="str">
        <f aca="false">IF(OR($B246="",$AJ246=""),"",$AJ246-$B246)</f>
        <v/>
      </c>
      <c r="AL246" s="31" t="str">
        <f aca="false">IF($X246="","",INDEX(Settings!$C$15:$C$17,MATCH($X246,Settings!$B$15:$B$17,0)))</f>
        <v/>
      </c>
      <c r="AM246" s="36" t="str">
        <f aca="true">IF($B246="","",IF($AH246="","No due date",IF($AI246="Closed",IF($AJ246="","Missing close date",IF($AJ246&lt;=$AH246,"On time","Late")),IF(TODAY()&gt;$AH246,"OVERDUE","In progress"))))</f>
        <v/>
      </c>
      <c r="AN246" s="35"/>
    </row>
    <row r="247" customFormat="false" ht="27.75" hidden="false" customHeight="true" outlineLevel="0" collapsed="false">
      <c r="A247" s="31" t="str">
        <f aca="false">IF($B247="","",ROW()-4)</f>
        <v/>
      </c>
      <c r="B247" s="32"/>
      <c r="C247" s="32"/>
      <c r="D247" s="33"/>
      <c r="E247" s="33"/>
      <c r="F247" s="33"/>
      <c r="G247" s="34"/>
      <c r="H247" s="33"/>
      <c r="I247" s="33"/>
      <c r="J247" s="33"/>
      <c r="K247" s="33"/>
      <c r="L247" s="35"/>
      <c r="M247" s="33"/>
      <c r="N247" s="33"/>
      <c r="O247" s="33"/>
      <c r="P247" s="33"/>
      <c r="Q247" s="35"/>
      <c r="R247" s="33"/>
      <c r="S247" s="33"/>
      <c r="T247" s="33"/>
      <c r="U247" s="33"/>
      <c r="V247" s="33"/>
      <c r="W247" s="31" t="str">
        <f aca="false">IF(OR($T247="",$U247="",$V247=""),"",$T247*$U247*$V247)</f>
        <v/>
      </c>
      <c r="X247" s="36" t="str">
        <f aca="false">IF($W247="","",IF($T247=5,"High",IF($W247&gt;=Settings!$C$20,"High",IF(OR($W247&gt;=Settings!$C$21,$T247=4),"Medium","Low"))))</f>
        <v/>
      </c>
      <c r="Y247" s="34"/>
      <c r="Z247" s="37" t="str">
        <f aca="false">IF($O247="","",$O247*Settings!$C$5)</f>
        <v/>
      </c>
      <c r="AA247" s="37" t="n">
        <f aca="false">IF(OR($H247&lt;&gt;"Complaint",$P247&lt;&gt;"Upheld",$T247=""),0,IF($G247="",Settings!$C$6,$G247)*INDEX(Settings!$C$8:$C$12,6-$T247))</f>
        <v>0</v>
      </c>
      <c r="AB247" s="37" t="str">
        <f aca="false">IF($B247="","",IF($Y247="",0,$Y247)+IF($Z247="",0,$Z247)+IF($AA247="",0,$AA247))</f>
        <v/>
      </c>
      <c r="AC247" s="35"/>
      <c r="AD247" s="33"/>
      <c r="AE247" s="36" t="str">
        <f aca="false">IF($B247="","",IF(OR($H247="Nonconformity (process)",$S247="Yes",AND(ISNUMBER($W247),$W247&gt;=Settings!$C$20)),"YES – required","No"))</f>
        <v/>
      </c>
      <c r="AF247" s="33"/>
      <c r="AG247" s="33"/>
      <c r="AH247" s="32"/>
      <c r="AI247" s="33"/>
      <c r="AJ247" s="32"/>
      <c r="AK247" s="31" t="str">
        <f aca="false">IF(OR($B247="",$AJ247=""),"",$AJ247-$B247)</f>
        <v/>
      </c>
      <c r="AL247" s="31" t="str">
        <f aca="false">IF($X247="","",INDEX(Settings!$C$15:$C$17,MATCH($X247,Settings!$B$15:$B$17,0)))</f>
        <v/>
      </c>
      <c r="AM247" s="36" t="str">
        <f aca="true">IF($B247="","",IF($AH247="","No due date",IF($AI247="Closed",IF($AJ247="","Missing close date",IF($AJ247&lt;=$AH247,"On time","Late")),IF(TODAY()&gt;$AH247,"OVERDUE","In progress"))))</f>
        <v/>
      </c>
      <c r="AN247" s="35"/>
    </row>
    <row r="248" customFormat="false" ht="27.75" hidden="false" customHeight="true" outlineLevel="0" collapsed="false">
      <c r="A248" s="31" t="str">
        <f aca="false">IF($B248="","",ROW()-4)</f>
        <v/>
      </c>
      <c r="B248" s="32"/>
      <c r="C248" s="32"/>
      <c r="D248" s="33"/>
      <c r="E248" s="33"/>
      <c r="F248" s="33"/>
      <c r="G248" s="34"/>
      <c r="H248" s="33"/>
      <c r="I248" s="33"/>
      <c r="J248" s="33"/>
      <c r="K248" s="33"/>
      <c r="L248" s="35"/>
      <c r="M248" s="33"/>
      <c r="N248" s="33"/>
      <c r="O248" s="33"/>
      <c r="P248" s="33"/>
      <c r="Q248" s="35"/>
      <c r="R248" s="33"/>
      <c r="S248" s="33"/>
      <c r="T248" s="33"/>
      <c r="U248" s="33"/>
      <c r="V248" s="33"/>
      <c r="W248" s="31" t="str">
        <f aca="false">IF(OR($T248="",$U248="",$V248=""),"",$T248*$U248*$V248)</f>
        <v/>
      </c>
      <c r="X248" s="36" t="str">
        <f aca="false">IF($W248="","",IF($T248=5,"High",IF($W248&gt;=Settings!$C$20,"High",IF(OR($W248&gt;=Settings!$C$21,$T248=4),"Medium","Low"))))</f>
        <v/>
      </c>
      <c r="Y248" s="34"/>
      <c r="Z248" s="37" t="str">
        <f aca="false">IF($O248="","",$O248*Settings!$C$5)</f>
        <v/>
      </c>
      <c r="AA248" s="37" t="n">
        <f aca="false">IF(OR($H248&lt;&gt;"Complaint",$P248&lt;&gt;"Upheld",$T248=""),0,IF($G248="",Settings!$C$6,$G248)*INDEX(Settings!$C$8:$C$12,6-$T248))</f>
        <v>0</v>
      </c>
      <c r="AB248" s="37" t="str">
        <f aca="false">IF($B248="","",IF($Y248="",0,$Y248)+IF($Z248="",0,$Z248)+IF($AA248="",0,$AA248))</f>
        <v/>
      </c>
      <c r="AC248" s="35"/>
      <c r="AD248" s="33"/>
      <c r="AE248" s="36" t="str">
        <f aca="false">IF($B248="","",IF(OR($H248="Nonconformity (process)",$S248="Yes",AND(ISNUMBER($W248),$W248&gt;=Settings!$C$20)),"YES – required","No"))</f>
        <v/>
      </c>
      <c r="AF248" s="33"/>
      <c r="AG248" s="33"/>
      <c r="AH248" s="32"/>
      <c r="AI248" s="33"/>
      <c r="AJ248" s="32"/>
      <c r="AK248" s="31" t="str">
        <f aca="false">IF(OR($B248="",$AJ248=""),"",$AJ248-$B248)</f>
        <v/>
      </c>
      <c r="AL248" s="31" t="str">
        <f aca="false">IF($X248="","",INDEX(Settings!$C$15:$C$17,MATCH($X248,Settings!$B$15:$B$17,0)))</f>
        <v/>
      </c>
      <c r="AM248" s="36" t="str">
        <f aca="true">IF($B248="","",IF($AH248="","No due date",IF($AI248="Closed",IF($AJ248="","Missing close date",IF($AJ248&lt;=$AH248,"On time","Late")),IF(TODAY()&gt;$AH248,"OVERDUE","In progress"))))</f>
        <v/>
      </c>
      <c r="AN248" s="35"/>
    </row>
    <row r="249" customFormat="false" ht="27.75" hidden="false" customHeight="true" outlineLevel="0" collapsed="false">
      <c r="A249" s="31" t="str">
        <f aca="false">IF($B249="","",ROW()-4)</f>
        <v/>
      </c>
      <c r="B249" s="32"/>
      <c r="C249" s="32"/>
      <c r="D249" s="33"/>
      <c r="E249" s="33"/>
      <c r="F249" s="33"/>
      <c r="G249" s="34"/>
      <c r="H249" s="33"/>
      <c r="I249" s="33"/>
      <c r="J249" s="33"/>
      <c r="K249" s="33"/>
      <c r="L249" s="35"/>
      <c r="M249" s="33"/>
      <c r="N249" s="33"/>
      <c r="O249" s="33"/>
      <c r="P249" s="33"/>
      <c r="Q249" s="35"/>
      <c r="R249" s="33"/>
      <c r="S249" s="33"/>
      <c r="T249" s="33"/>
      <c r="U249" s="33"/>
      <c r="V249" s="33"/>
      <c r="W249" s="31" t="str">
        <f aca="false">IF(OR($T249="",$U249="",$V249=""),"",$T249*$U249*$V249)</f>
        <v/>
      </c>
      <c r="X249" s="36" t="str">
        <f aca="false">IF($W249="","",IF($T249=5,"High",IF($W249&gt;=Settings!$C$20,"High",IF(OR($W249&gt;=Settings!$C$21,$T249=4),"Medium","Low"))))</f>
        <v/>
      </c>
      <c r="Y249" s="34"/>
      <c r="Z249" s="37" t="str">
        <f aca="false">IF($O249="","",$O249*Settings!$C$5)</f>
        <v/>
      </c>
      <c r="AA249" s="37" t="n">
        <f aca="false">IF(OR($H249&lt;&gt;"Complaint",$P249&lt;&gt;"Upheld",$T249=""),0,IF($G249="",Settings!$C$6,$G249)*INDEX(Settings!$C$8:$C$12,6-$T249))</f>
        <v>0</v>
      </c>
      <c r="AB249" s="37" t="str">
        <f aca="false">IF($B249="","",IF($Y249="",0,$Y249)+IF($Z249="",0,$Z249)+IF($AA249="",0,$AA249))</f>
        <v/>
      </c>
      <c r="AC249" s="35"/>
      <c r="AD249" s="33"/>
      <c r="AE249" s="36" t="str">
        <f aca="false">IF($B249="","",IF(OR($H249="Nonconformity (process)",$S249="Yes",AND(ISNUMBER($W249),$W249&gt;=Settings!$C$20)),"YES – required","No"))</f>
        <v/>
      </c>
      <c r="AF249" s="33"/>
      <c r="AG249" s="33"/>
      <c r="AH249" s="32"/>
      <c r="AI249" s="33"/>
      <c r="AJ249" s="32"/>
      <c r="AK249" s="31" t="str">
        <f aca="false">IF(OR($B249="",$AJ249=""),"",$AJ249-$B249)</f>
        <v/>
      </c>
      <c r="AL249" s="31" t="str">
        <f aca="false">IF($X249="","",INDEX(Settings!$C$15:$C$17,MATCH($X249,Settings!$B$15:$B$17,0)))</f>
        <v/>
      </c>
      <c r="AM249" s="36" t="str">
        <f aca="true">IF($B249="","",IF($AH249="","No due date",IF($AI249="Closed",IF($AJ249="","Missing close date",IF($AJ249&lt;=$AH249,"On time","Late")),IF(TODAY()&gt;$AH249,"OVERDUE","In progress"))))</f>
        <v/>
      </c>
      <c r="AN249" s="35"/>
    </row>
    <row r="250" customFormat="false" ht="27.75" hidden="false" customHeight="true" outlineLevel="0" collapsed="false">
      <c r="A250" s="31" t="str">
        <f aca="false">IF($B250="","",ROW()-4)</f>
        <v/>
      </c>
      <c r="B250" s="32"/>
      <c r="C250" s="32"/>
      <c r="D250" s="33"/>
      <c r="E250" s="33"/>
      <c r="F250" s="33"/>
      <c r="G250" s="34"/>
      <c r="H250" s="33"/>
      <c r="I250" s="33"/>
      <c r="J250" s="33"/>
      <c r="K250" s="33"/>
      <c r="L250" s="35"/>
      <c r="M250" s="33"/>
      <c r="N250" s="33"/>
      <c r="O250" s="33"/>
      <c r="P250" s="33"/>
      <c r="Q250" s="35"/>
      <c r="R250" s="33"/>
      <c r="S250" s="33"/>
      <c r="T250" s="33"/>
      <c r="U250" s="33"/>
      <c r="V250" s="33"/>
      <c r="W250" s="31" t="str">
        <f aca="false">IF(OR($T250="",$U250="",$V250=""),"",$T250*$U250*$V250)</f>
        <v/>
      </c>
      <c r="X250" s="36" t="str">
        <f aca="false">IF($W250="","",IF($T250=5,"High",IF($W250&gt;=Settings!$C$20,"High",IF(OR($W250&gt;=Settings!$C$21,$T250=4),"Medium","Low"))))</f>
        <v/>
      </c>
      <c r="Y250" s="34"/>
      <c r="Z250" s="37" t="str">
        <f aca="false">IF($O250="","",$O250*Settings!$C$5)</f>
        <v/>
      </c>
      <c r="AA250" s="37" t="n">
        <f aca="false">IF(OR($H250&lt;&gt;"Complaint",$P250&lt;&gt;"Upheld",$T250=""),0,IF($G250="",Settings!$C$6,$G250)*INDEX(Settings!$C$8:$C$12,6-$T250))</f>
        <v>0</v>
      </c>
      <c r="AB250" s="37" t="str">
        <f aca="false">IF($B250="","",IF($Y250="",0,$Y250)+IF($Z250="",0,$Z250)+IF($AA250="",0,$AA250))</f>
        <v/>
      </c>
      <c r="AC250" s="35"/>
      <c r="AD250" s="33"/>
      <c r="AE250" s="36" t="str">
        <f aca="false">IF($B250="","",IF(OR($H250="Nonconformity (process)",$S250="Yes",AND(ISNUMBER($W250),$W250&gt;=Settings!$C$20)),"YES – required","No"))</f>
        <v/>
      </c>
      <c r="AF250" s="33"/>
      <c r="AG250" s="33"/>
      <c r="AH250" s="32"/>
      <c r="AI250" s="33"/>
      <c r="AJ250" s="32"/>
      <c r="AK250" s="31" t="str">
        <f aca="false">IF(OR($B250="",$AJ250=""),"",$AJ250-$B250)</f>
        <v/>
      </c>
      <c r="AL250" s="31" t="str">
        <f aca="false">IF($X250="","",INDEX(Settings!$C$15:$C$17,MATCH($X250,Settings!$B$15:$B$17,0)))</f>
        <v/>
      </c>
      <c r="AM250" s="36" t="str">
        <f aca="true">IF($B250="","",IF($AH250="","No due date",IF($AI250="Closed",IF($AJ250="","Missing close date",IF($AJ250&lt;=$AH250,"On time","Late")),IF(TODAY()&gt;$AH250,"OVERDUE","In progress"))))</f>
        <v/>
      </c>
      <c r="AN250" s="35"/>
    </row>
    <row r="251" customFormat="false" ht="27.75" hidden="false" customHeight="true" outlineLevel="0" collapsed="false">
      <c r="A251" s="31" t="str">
        <f aca="false">IF($B251="","",ROW()-4)</f>
        <v/>
      </c>
      <c r="B251" s="32"/>
      <c r="C251" s="32"/>
      <c r="D251" s="33"/>
      <c r="E251" s="33"/>
      <c r="F251" s="33"/>
      <c r="G251" s="34"/>
      <c r="H251" s="33"/>
      <c r="I251" s="33"/>
      <c r="J251" s="33"/>
      <c r="K251" s="33"/>
      <c r="L251" s="35"/>
      <c r="M251" s="33"/>
      <c r="N251" s="33"/>
      <c r="O251" s="33"/>
      <c r="P251" s="33"/>
      <c r="Q251" s="35"/>
      <c r="R251" s="33"/>
      <c r="S251" s="33"/>
      <c r="T251" s="33"/>
      <c r="U251" s="33"/>
      <c r="V251" s="33"/>
      <c r="W251" s="31" t="str">
        <f aca="false">IF(OR($T251="",$U251="",$V251=""),"",$T251*$U251*$V251)</f>
        <v/>
      </c>
      <c r="X251" s="36" t="str">
        <f aca="false">IF($W251="","",IF($T251=5,"High",IF($W251&gt;=Settings!$C$20,"High",IF(OR($W251&gt;=Settings!$C$21,$T251=4),"Medium","Low"))))</f>
        <v/>
      </c>
      <c r="Y251" s="34"/>
      <c r="Z251" s="37" t="str">
        <f aca="false">IF($O251="","",$O251*Settings!$C$5)</f>
        <v/>
      </c>
      <c r="AA251" s="37" t="n">
        <f aca="false">IF(OR($H251&lt;&gt;"Complaint",$P251&lt;&gt;"Upheld",$T251=""),0,IF($G251="",Settings!$C$6,$G251)*INDEX(Settings!$C$8:$C$12,6-$T251))</f>
        <v>0</v>
      </c>
      <c r="AB251" s="37" t="str">
        <f aca="false">IF($B251="","",IF($Y251="",0,$Y251)+IF($Z251="",0,$Z251)+IF($AA251="",0,$AA251))</f>
        <v/>
      </c>
      <c r="AC251" s="35"/>
      <c r="AD251" s="33"/>
      <c r="AE251" s="36" t="str">
        <f aca="false">IF($B251="","",IF(OR($H251="Nonconformity (process)",$S251="Yes",AND(ISNUMBER($W251),$W251&gt;=Settings!$C$20)),"YES – required","No"))</f>
        <v/>
      </c>
      <c r="AF251" s="33"/>
      <c r="AG251" s="33"/>
      <c r="AH251" s="32"/>
      <c r="AI251" s="33"/>
      <c r="AJ251" s="32"/>
      <c r="AK251" s="31" t="str">
        <f aca="false">IF(OR($B251="",$AJ251=""),"",$AJ251-$B251)</f>
        <v/>
      </c>
      <c r="AL251" s="31" t="str">
        <f aca="false">IF($X251="","",INDEX(Settings!$C$15:$C$17,MATCH($X251,Settings!$B$15:$B$17,0)))</f>
        <v/>
      </c>
      <c r="AM251" s="36" t="str">
        <f aca="true">IF($B251="","",IF($AH251="","No due date",IF($AI251="Closed",IF($AJ251="","Missing close date",IF($AJ251&lt;=$AH251,"On time","Late")),IF(TODAY()&gt;$AH251,"OVERDUE","In progress"))))</f>
        <v/>
      </c>
      <c r="AN251" s="35"/>
    </row>
    <row r="252" customFormat="false" ht="27.75" hidden="false" customHeight="true" outlineLevel="0" collapsed="false">
      <c r="A252" s="31" t="str">
        <f aca="false">IF($B252="","",ROW()-4)</f>
        <v/>
      </c>
      <c r="B252" s="32"/>
      <c r="C252" s="32"/>
      <c r="D252" s="33"/>
      <c r="E252" s="33"/>
      <c r="F252" s="33"/>
      <c r="G252" s="34"/>
      <c r="H252" s="33"/>
      <c r="I252" s="33"/>
      <c r="J252" s="33"/>
      <c r="K252" s="33"/>
      <c r="L252" s="35"/>
      <c r="M252" s="33"/>
      <c r="N252" s="33"/>
      <c r="O252" s="33"/>
      <c r="P252" s="33"/>
      <c r="Q252" s="35"/>
      <c r="R252" s="33"/>
      <c r="S252" s="33"/>
      <c r="T252" s="33"/>
      <c r="U252" s="33"/>
      <c r="V252" s="33"/>
      <c r="W252" s="31" t="str">
        <f aca="false">IF(OR($T252="",$U252="",$V252=""),"",$T252*$U252*$V252)</f>
        <v/>
      </c>
      <c r="X252" s="36" t="str">
        <f aca="false">IF($W252="","",IF($T252=5,"High",IF($W252&gt;=Settings!$C$20,"High",IF(OR($W252&gt;=Settings!$C$21,$T252=4),"Medium","Low"))))</f>
        <v/>
      </c>
      <c r="Y252" s="34"/>
      <c r="Z252" s="37" t="str">
        <f aca="false">IF($O252="","",$O252*Settings!$C$5)</f>
        <v/>
      </c>
      <c r="AA252" s="37" t="n">
        <f aca="false">IF(OR($H252&lt;&gt;"Complaint",$P252&lt;&gt;"Upheld",$T252=""),0,IF($G252="",Settings!$C$6,$G252)*INDEX(Settings!$C$8:$C$12,6-$T252))</f>
        <v>0</v>
      </c>
      <c r="AB252" s="37" t="str">
        <f aca="false">IF($B252="","",IF($Y252="",0,$Y252)+IF($Z252="",0,$Z252)+IF($AA252="",0,$AA252))</f>
        <v/>
      </c>
      <c r="AC252" s="35"/>
      <c r="AD252" s="33"/>
      <c r="AE252" s="36" t="str">
        <f aca="false">IF($B252="","",IF(OR($H252="Nonconformity (process)",$S252="Yes",AND(ISNUMBER($W252),$W252&gt;=Settings!$C$20)),"YES – required","No"))</f>
        <v/>
      </c>
      <c r="AF252" s="33"/>
      <c r="AG252" s="33"/>
      <c r="AH252" s="32"/>
      <c r="AI252" s="33"/>
      <c r="AJ252" s="32"/>
      <c r="AK252" s="31" t="str">
        <f aca="false">IF(OR($B252="",$AJ252=""),"",$AJ252-$B252)</f>
        <v/>
      </c>
      <c r="AL252" s="31" t="str">
        <f aca="false">IF($X252="","",INDEX(Settings!$C$15:$C$17,MATCH($X252,Settings!$B$15:$B$17,0)))</f>
        <v/>
      </c>
      <c r="AM252" s="36" t="str">
        <f aca="true">IF($B252="","",IF($AH252="","No due date",IF($AI252="Closed",IF($AJ252="","Missing close date",IF($AJ252&lt;=$AH252,"On time","Late")),IF(TODAY()&gt;$AH252,"OVERDUE","In progress"))))</f>
        <v/>
      </c>
      <c r="AN252" s="35"/>
    </row>
    <row r="253" customFormat="false" ht="27.75" hidden="false" customHeight="true" outlineLevel="0" collapsed="false">
      <c r="A253" s="31" t="str">
        <f aca="false">IF($B253="","",ROW()-4)</f>
        <v/>
      </c>
      <c r="B253" s="32"/>
      <c r="C253" s="32"/>
      <c r="D253" s="33"/>
      <c r="E253" s="33"/>
      <c r="F253" s="33"/>
      <c r="G253" s="34"/>
      <c r="H253" s="33"/>
      <c r="I253" s="33"/>
      <c r="J253" s="33"/>
      <c r="K253" s="33"/>
      <c r="L253" s="35"/>
      <c r="M253" s="33"/>
      <c r="N253" s="33"/>
      <c r="O253" s="33"/>
      <c r="P253" s="33"/>
      <c r="Q253" s="35"/>
      <c r="R253" s="33"/>
      <c r="S253" s="33"/>
      <c r="T253" s="33"/>
      <c r="U253" s="33"/>
      <c r="V253" s="33"/>
      <c r="W253" s="31" t="str">
        <f aca="false">IF(OR($T253="",$U253="",$V253=""),"",$T253*$U253*$V253)</f>
        <v/>
      </c>
      <c r="X253" s="36" t="str">
        <f aca="false">IF($W253="","",IF($T253=5,"High",IF($W253&gt;=Settings!$C$20,"High",IF(OR($W253&gt;=Settings!$C$21,$T253=4),"Medium","Low"))))</f>
        <v/>
      </c>
      <c r="Y253" s="34"/>
      <c r="Z253" s="37" t="str">
        <f aca="false">IF($O253="","",$O253*Settings!$C$5)</f>
        <v/>
      </c>
      <c r="AA253" s="37" t="n">
        <f aca="false">IF(OR($H253&lt;&gt;"Complaint",$P253&lt;&gt;"Upheld",$T253=""),0,IF($G253="",Settings!$C$6,$G253)*INDEX(Settings!$C$8:$C$12,6-$T253))</f>
        <v>0</v>
      </c>
      <c r="AB253" s="37" t="str">
        <f aca="false">IF($B253="","",IF($Y253="",0,$Y253)+IF($Z253="",0,$Z253)+IF($AA253="",0,$AA253))</f>
        <v/>
      </c>
      <c r="AC253" s="35"/>
      <c r="AD253" s="33"/>
      <c r="AE253" s="36" t="str">
        <f aca="false">IF($B253="","",IF(OR($H253="Nonconformity (process)",$S253="Yes",AND(ISNUMBER($W253),$W253&gt;=Settings!$C$20)),"YES – required","No"))</f>
        <v/>
      </c>
      <c r="AF253" s="33"/>
      <c r="AG253" s="33"/>
      <c r="AH253" s="32"/>
      <c r="AI253" s="33"/>
      <c r="AJ253" s="32"/>
      <c r="AK253" s="31" t="str">
        <f aca="false">IF(OR($B253="",$AJ253=""),"",$AJ253-$B253)</f>
        <v/>
      </c>
      <c r="AL253" s="31" t="str">
        <f aca="false">IF($X253="","",INDEX(Settings!$C$15:$C$17,MATCH($X253,Settings!$B$15:$B$17,0)))</f>
        <v/>
      </c>
      <c r="AM253" s="36" t="str">
        <f aca="true">IF($B253="","",IF($AH253="","No due date",IF($AI253="Closed",IF($AJ253="","Missing close date",IF($AJ253&lt;=$AH253,"On time","Late")),IF(TODAY()&gt;$AH253,"OVERDUE","In progress"))))</f>
        <v/>
      </c>
      <c r="AN253" s="35"/>
    </row>
    <row r="254" customFormat="false" ht="27.75" hidden="false" customHeight="true" outlineLevel="0" collapsed="false">
      <c r="A254" s="31" t="str">
        <f aca="false">IF($B254="","",ROW()-4)</f>
        <v/>
      </c>
      <c r="B254" s="32"/>
      <c r="C254" s="32"/>
      <c r="D254" s="33"/>
      <c r="E254" s="33"/>
      <c r="F254" s="33"/>
      <c r="G254" s="34"/>
      <c r="H254" s="33"/>
      <c r="I254" s="33"/>
      <c r="J254" s="33"/>
      <c r="K254" s="33"/>
      <c r="L254" s="35"/>
      <c r="M254" s="33"/>
      <c r="N254" s="33"/>
      <c r="O254" s="33"/>
      <c r="P254" s="33"/>
      <c r="Q254" s="35"/>
      <c r="R254" s="33"/>
      <c r="S254" s="33"/>
      <c r="T254" s="33"/>
      <c r="U254" s="33"/>
      <c r="V254" s="33"/>
      <c r="W254" s="31" t="str">
        <f aca="false">IF(OR($T254="",$U254="",$V254=""),"",$T254*$U254*$V254)</f>
        <v/>
      </c>
      <c r="X254" s="36" t="str">
        <f aca="false">IF($W254="","",IF($T254=5,"High",IF($W254&gt;=Settings!$C$20,"High",IF(OR($W254&gt;=Settings!$C$21,$T254=4),"Medium","Low"))))</f>
        <v/>
      </c>
      <c r="Y254" s="34"/>
      <c r="Z254" s="37" t="str">
        <f aca="false">IF($O254="","",$O254*Settings!$C$5)</f>
        <v/>
      </c>
      <c r="AA254" s="37" t="n">
        <f aca="false">IF(OR($H254&lt;&gt;"Complaint",$P254&lt;&gt;"Upheld",$T254=""),0,IF($G254="",Settings!$C$6,$G254)*INDEX(Settings!$C$8:$C$12,6-$T254))</f>
        <v>0</v>
      </c>
      <c r="AB254" s="37" t="str">
        <f aca="false">IF($B254="","",IF($Y254="",0,$Y254)+IF($Z254="",0,$Z254)+IF($AA254="",0,$AA254))</f>
        <v/>
      </c>
      <c r="AC254" s="35"/>
      <c r="AD254" s="33"/>
      <c r="AE254" s="36" t="str">
        <f aca="false">IF($B254="","",IF(OR($H254="Nonconformity (process)",$S254="Yes",AND(ISNUMBER($W254),$W254&gt;=Settings!$C$20)),"YES – required","No"))</f>
        <v/>
      </c>
      <c r="AF254" s="33"/>
      <c r="AG254" s="33"/>
      <c r="AH254" s="32"/>
      <c r="AI254" s="33"/>
      <c r="AJ254" s="32"/>
      <c r="AK254" s="31" t="str">
        <f aca="false">IF(OR($B254="",$AJ254=""),"",$AJ254-$B254)</f>
        <v/>
      </c>
      <c r="AL254" s="31" t="str">
        <f aca="false">IF($X254="","",INDEX(Settings!$C$15:$C$17,MATCH($X254,Settings!$B$15:$B$17,0)))</f>
        <v/>
      </c>
      <c r="AM254" s="36" t="str">
        <f aca="true">IF($B254="","",IF($AH254="","No due date",IF($AI254="Closed",IF($AJ254="","Missing close date",IF($AJ254&lt;=$AH254,"On time","Late")),IF(TODAY()&gt;$AH254,"OVERDUE","In progress"))))</f>
        <v/>
      </c>
      <c r="AN254" s="35"/>
    </row>
    <row r="255" customFormat="false" ht="27.75" hidden="false" customHeight="true" outlineLevel="0" collapsed="false">
      <c r="A255" s="31" t="str">
        <f aca="false">IF($B255="","",ROW()-4)</f>
        <v/>
      </c>
      <c r="B255" s="32"/>
      <c r="C255" s="32"/>
      <c r="D255" s="33"/>
      <c r="E255" s="33"/>
      <c r="F255" s="33"/>
      <c r="G255" s="34"/>
      <c r="H255" s="33"/>
      <c r="I255" s="33"/>
      <c r="J255" s="33"/>
      <c r="K255" s="33"/>
      <c r="L255" s="35"/>
      <c r="M255" s="33"/>
      <c r="N255" s="33"/>
      <c r="O255" s="33"/>
      <c r="P255" s="33"/>
      <c r="Q255" s="35"/>
      <c r="R255" s="33"/>
      <c r="S255" s="33"/>
      <c r="T255" s="33"/>
      <c r="U255" s="33"/>
      <c r="V255" s="33"/>
      <c r="W255" s="31" t="str">
        <f aca="false">IF(OR($T255="",$U255="",$V255=""),"",$T255*$U255*$V255)</f>
        <v/>
      </c>
      <c r="X255" s="36" t="str">
        <f aca="false">IF($W255="","",IF($T255=5,"High",IF($W255&gt;=Settings!$C$20,"High",IF(OR($W255&gt;=Settings!$C$21,$T255=4),"Medium","Low"))))</f>
        <v/>
      </c>
      <c r="Y255" s="34"/>
      <c r="Z255" s="37" t="str">
        <f aca="false">IF($O255="","",$O255*Settings!$C$5)</f>
        <v/>
      </c>
      <c r="AA255" s="37" t="n">
        <f aca="false">IF(OR($H255&lt;&gt;"Complaint",$P255&lt;&gt;"Upheld",$T255=""),0,IF($G255="",Settings!$C$6,$G255)*INDEX(Settings!$C$8:$C$12,6-$T255))</f>
        <v>0</v>
      </c>
      <c r="AB255" s="37" t="str">
        <f aca="false">IF($B255="","",IF($Y255="",0,$Y255)+IF($Z255="",0,$Z255)+IF($AA255="",0,$AA255))</f>
        <v/>
      </c>
      <c r="AC255" s="35"/>
      <c r="AD255" s="33"/>
      <c r="AE255" s="36" t="str">
        <f aca="false">IF($B255="","",IF(OR($H255="Nonconformity (process)",$S255="Yes",AND(ISNUMBER($W255),$W255&gt;=Settings!$C$20)),"YES – required","No"))</f>
        <v/>
      </c>
      <c r="AF255" s="33"/>
      <c r="AG255" s="33"/>
      <c r="AH255" s="32"/>
      <c r="AI255" s="33"/>
      <c r="AJ255" s="32"/>
      <c r="AK255" s="31" t="str">
        <f aca="false">IF(OR($B255="",$AJ255=""),"",$AJ255-$B255)</f>
        <v/>
      </c>
      <c r="AL255" s="31" t="str">
        <f aca="false">IF($X255="","",INDEX(Settings!$C$15:$C$17,MATCH($X255,Settings!$B$15:$B$17,0)))</f>
        <v/>
      </c>
      <c r="AM255" s="36" t="str">
        <f aca="true">IF($B255="","",IF($AH255="","No due date",IF($AI255="Closed",IF($AJ255="","Missing close date",IF($AJ255&lt;=$AH255,"On time","Late")),IF(TODAY()&gt;$AH255,"OVERDUE","In progress"))))</f>
        <v/>
      </c>
      <c r="AN255" s="35"/>
    </row>
    <row r="256" customFormat="false" ht="27.75" hidden="false" customHeight="true" outlineLevel="0" collapsed="false">
      <c r="A256" s="31" t="str">
        <f aca="false">IF($B256="","",ROW()-4)</f>
        <v/>
      </c>
      <c r="B256" s="32"/>
      <c r="C256" s="32"/>
      <c r="D256" s="33"/>
      <c r="E256" s="33"/>
      <c r="F256" s="33"/>
      <c r="G256" s="34"/>
      <c r="H256" s="33"/>
      <c r="I256" s="33"/>
      <c r="J256" s="33"/>
      <c r="K256" s="33"/>
      <c r="L256" s="35"/>
      <c r="M256" s="33"/>
      <c r="N256" s="33"/>
      <c r="O256" s="33"/>
      <c r="P256" s="33"/>
      <c r="Q256" s="35"/>
      <c r="R256" s="33"/>
      <c r="S256" s="33"/>
      <c r="T256" s="33"/>
      <c r="U256" s="33"/>
      <c r="V256" s="33"/>
      <c r="W256" s="31" t="str">
        <f aca="false">IF(OR($T256="",$U256="",$V256=""),"",$T256*$U256*$V256)</f>
        <v/>
      </c>
      <c r="X256" s="36" t="str">
        <f aca="false">IF($W256="","",IF($T256=5,"High",IF($W256&gt;=Settings!$C$20,"High",IF(OR($W256&gt;=Settings!$C$21,$T256=4),"Medium","Low"))))</f>
        <v/>
      </c>
      <c r="Y256" s="34"/>
      <c r="Z256" s="37" t="str">
        <f aca="false">IF($O256="","",$O256*Settings!$C$5)</f>
        <v/>
      </c>
      <c r="AA256" s="37" t="n">
        <f aca="false">IF(OR($H256&lt;&gt;"Complaint",$P256&lt;&gt;"Upheld",$T256=""),0,IF($G256="",Settings!$C$6,$G256)*INDEX(Settings!$C$8:$C$12,6-$T256))</f>
        <v>0</v>
      </c>
      <c r="AB256" s="37" t="str">
        <f aca="false">IF($B256="","",IF($Y256="",0,$Y256)+IF($Z256="",0,$Z256)+IF($AA256="",0,$AA256))</f>
        <v/>
      </c>
      <c r="AC256" s="35"/>
      <c r="AD256" s="33"/>
      <c r="AE256" s="36" t="str">
        <f aca="false">IF($B256="","",IF(OR($H256="Nonconformity (process)",$S256="Yes",AND(ISNUMBER($W256),$W256&gt;=Settings!$C$20)),"YES – required","No"))</f>
        <v/>
      </c>
      <c r="AF256" s="33"/>
      <c r="AG256" s="33"/>
      <c r="AH256" s="32"/>
      <c r="AI256" s="33"/>
      <c r="AJ256" s="32"/>
      <c r="AK256" s="31" t="str">
        <f aca="false">IF(OR($B256="",$AJ256=""),"",$AJ256-$B256)</f>
        <v/>
      </c>
      <c r="AL256" s="31" t="str">
        <f aca="false">IF($X256="","",INDEX(Settings!$C$15:$C$17,MATCH($X256,Settings!$B$15:$B$17,0)))</f>
        <v/>
      </c>
      <c r="AM256" s="36" t="str">
        <f aca="true">IF($B256="","",IF($AH256="","No due date",IF($AI256="Closed",IF($AJ256="","Missing close date",IF($AJ256&lt;=$AH256,"On time","Late")),IF(TODAY()&gt;$AH256,"OVERDUE","In progress"))))</f>
        <v/>
      </c>
      <c r="AN256" s="35"/>
    </row>
    <row r="257" customFormat="false" ht="27.75" hidden="false" customHeight="true" outlineLevel="0" collapsed="false">
      <c r="A257" s="31" t="str">
        <f aca="false">IF($B257="","",ROW()-4)</f>
        <v/>
      </c>
      <c r="B257" s="32"/>
      <c r="C257" s="32"/>
      <c r="D257" s="33"/>
      <c r="E257" s="33"/>
      <c r="F257" s="33"/>
      <c r="G257" s="34"/>
      <c r="H257" s="33"/>
      <c r="I257" s="33"/>
      <c r="J257" s="33"/>
      <c r="K257" s="33"/>
      <c r="L257" s="35"/>
      <c r="M257" s="33"/>
      <c r="N257" s="33"/>
      <c r="O257" s="33"/>
      <c r="P257" s="33"/>
      <c r="Q257" s="35"/>
      <c r="R257" s="33"/>
      <c r="S257" s="33"/>
      <c r="T257" s="33"/>
      <c r="U257" s="33"/>
      <c r="V257" s="33"/>
      <c r="W257" s="31" t="str">
        <f aca="false">IF(OR($T257="",$U257="",$V257=""),"",$T257*$U257*$V257)</f>
        <v/>
      </c>
      <c r="X257" s="36" t="str">
        <f aca="false">IF($W257="","",IF($T257=5,"High",IF($W257&gt;=Settings!$C$20,"High",IF(OR($W257&gt;=Settings!$C$21,$T257=4),"Medium","Low"))))</f>
        <v/>
      </c>
      <c r="Y257" s="34"/>
      <c r="Z257" s="37" t="str">
        <f aca="false">IF($O257="","",$O257*Settings!$C$5)</f>
        <v/>
      </c>
      <c r="AA257" s="37" t="n">
        <f aca="false">IF(OR($H257&lt;&gt;"Complaint",$P257&lt;&gt;"Upheld",$T257=""),0,IF($G257="",Settings!$C$6,$G257)*INDEX(Settings!$C$8:$C$12,6-$T257))</f>
        <v>0</v>
      </c>
      <c r="AB257" s="37" t="str">
        <f aca="false">IF($B257="","",IF($Y257="",0,$Y257)+IF($Z257="",0,$Z257)+IF($AA257="",0,$AA257))</f>
        <v/>
      </c>
      <c r="AC257" s="35"/>
      <c r="AD257" s="33"/>
      <c r="AE257" s="36" t="str">
        <f aca="false">IF($B257="","",IF(OR($H257="Nonconformity (process)",$S257="Yes",AND(ISNUMBER($W257),$W257&gt;=Settings!$C$20)),"YES – required","No"))</f>
        <v/>
      </c>
      <c r="AF257" s="33"/>
      <c r="AG257" s="33"/>
      <c r="AH257" s="32"/>
      <c r="AI257" s="33"/>
      <c r="AJ257" s="32"/>
      <c r="AK257" s="31" t="str">
        <f aca="false">IF(OR($B257="",$AJ257=""),"",$AJ257-$B257)</f>
        <v/>
      </c>
      <c r="AL257" s="31" t="str">
        <f aca="false">IF($X257="","",INDEX(Settings!$C$15:$C$17,MATCH($X257,Settings!$B$15:$B$17,0)))</f>
        <v/>
      </c>
      <c r="AM257" s="36" t="str">
        <f aca="true">IF($B257="","",IF($AH257="","No due date",IF($AI257="Closed",IF($AJ257="","Missing close date",IF($AJ257&lt;=$AH257,"On time","Late")),IF(TODAY()&gt;$AH257,"OVERDUE","In progress"))))</f>
        <v/>
      </c>
      <c r="AN257" s="35"/>
    </row>
    <row r="258" customFormat="false" ht="27.75" hidden="false" customHeight="true" outlineLevel="0" collapsed="false">
      <c r="A258" s="31" t="str">
        <f aca="false">IF($B258="","",ROW()-4)</f>
        <v/>
      </c>
      <c r="B258" s="32"/>
      <c r="C258" s="32"/>
      <c r="D258" s="33"/>
      <c r="E258" s="33"/>
      <c r="F258" s="33"/>
      <c r="G258" s="34"/>
      <c r="H258" s="33"/>
      <c r="I258" s="33"/>
      <c r="J258" s="33"/>
      <c r="K258" s="33"/>
      <c r="L258" s="35"/>
      <c r="M258" s="33"/>
      <c r="N258" s="33"/>
      <c r="O258" s="33"/>
      <c r="P258" s="33"/>
      <c r="Q258" s="35"/>
      <c r="R258" s="33"/>
      <c r="S258" s="33"/>
      <c r="T258" s="33"/>
      <c r="U258" s="33"/>
      <c r="V258" s="33"/>
      <c r="W258" s="31" t="str">
        <f aca="false">IF(OR($T258="",$U258="",$V258=""),"",$T258*$U258*$V258)</f>
        <v/>
      </c>
      <c r="X258" s="36" t="str">
        <f aca="false">IF($W258="","",IF($T258=5,"High",IF($W258&gt;=Settings!$C$20,"High",IF(OR($W258&gt;=Settings!$C$21,$T258=4),"Medium","Low"))))</f>
        <v/>
      </c>
      <c r="Y258" s="34"/>
      <c r="Z258" s="37" t="str">
        <f aca="false">IF($O258="","",$O258*Settings!$C$5)</f>
        <v/>
      </c>
      <c r="AA258" s="37" t="n">
        <f aca="false">IF(OR($H258&lt;&gt;"Complaint",$P258&lt;&gt;"Upheld",$T258=""),0,IF($G258="",Settings!$C$6,$G258)*INDEX(Settings!$C$8:$C$12,6-$T258))</f>
        <v>0</v>
      </c>
      <c r="AB258" s="37" t="str">
        <f aca="false">IF($B258="","",IF($Y258="",0,$Y258)+IF($Z258="",0,$Z258)+IF($AA258="",0,$AA258))</f>
        <v/>
      </c>
      <c r="AC258" s="35"/>
      <c r="AD258" s="33"/>
      <c r="AE258" s="36" t="str">
        <f aca="false">IF($B258="","",IF(OR($H258="Nonconformity (process)",$S258="Yes",AND(ISNUMBER($W258),$W258&gt;=Settings!$C$20)),"YES – required","No"))</f>
        <v/>
      </c>
      <c r="AF258" s="33"/>
      <c r="AG258" s="33"/>
      <c r="AH258" s="32"/>
      <c r="AI258" s="33"/>
      <c r="AJ258" s="32"/>
      <c r="AK258" s="31" t="str">
        <f aca="false">IF(OR($B258="",$AJ258=""),"",$AJ258-$B258)</f>
        <v/>
      </c>
      <c r="AL258" s="31" t="str">
        <f aca="false">IF($X258="","",INDEX(Settings!$C$15:$C$17,MATCH($X258,Settings!$B$15:$B$17,0)))</f>
        <v/>
      </c>
      <c r="AM258" s="36" t="str">
        <f aca="true">IF($B258="","",IF($AH258="","No due date",IF($AI258="Closed",IF($AJ258="","Missing close date",IF($AJ258&lt;=$AH258,"On time","Late")),IF(TODAY()&gt;$AH258,"OVERDUE","In progress"))))</f>
        <v/>
      </c>
      <c r="AN258" s="35"/>
    </row>
    <row r="259" customFormat="false" ht="27.75" hidden="false" customHeight="true" outlineLevel="0" collapsed="false">
      <c r="A259" s="31" t="str">
        <f aca="false">IF($B259="","",ROW()-4)</f>
        <v/>
      </c>
      <c r="B259" s="32"/>
      <c r="C259" s="32"/>
      <c r="D259" s="33"/>
      <c r="E259" s="33"/>
      <c r="F259" s="33"/>
      <c r="G259" s="34"/>
      <c r="H259" s="33"/>
      <c r="I259" s="33"/>
      <c r="J259" s="33"/>
      <c r="K259" s="33"/>
      <c r="L259" s="35"/>
      <c r="M259" s="33"/>
      <c r="N259" s="33"/>
      <c r="O259" s="33"/>
      <c r="P259" s="33"/>
      <c r="Q259" s="35"/>
      <c r="R259" s="33"/>
      <c r="S259" s="33"/>
      <c r="T259" s="33"/>
      <c r="U259" s="33"/>
      <c r="V259" s="33"/>
      <c r="W259" s="31" t="str">
        <f aca="false">IF(OR($T259="",$U259="",$V259=""),"",$T259*$U259*$V259)</f>
        <v/>
      </c>
      <c r="X259" s="36" t="str">
        <f aca="false">IF($W259="","",IF($T259=5,"High",IF($W259&gt;=Settings!$C$20,"High",IF(OR($W259&gt;=Settings!$C$21,$T259=4),"Medium","Low"))))</f>
        <v/>
      </c>
      <c r="Y259" s="34"/>
      <c r="Z259" s="37" t="str">
        <f aca="false">IF($O259="","",$O259*Settings!$C$5)</f>
        <v/>
      </c>
      <c r="AA259" s="37" t="n">
        <f aca="false">IF(OR($H259&lt;&gt;"Complaint",$P259&lt;&gt;"Upheld",$T259=""),0,IF($G259="",Settings!$C$6,$G259)*INDEX(Settings!$C$8:$C$12,6-$T259))</f>
        <v>0</v>
      </c>
      <c r="AB259" s="37" t="str">
        <f aca="false">IF($B259="","",IF($Y259="",0,$Y259)+IF($Z259="",0,$Z259)+IF($AA259="",0,$AA259))</f>
        <v/>
      </c>
      <c r="AC259" s="35"/>
      <c r="AD259" s="33"/>
      <c r="AE259" s="36" t="str">
        <f aca="false">IF($B259="","",IF(OR($H259="Nonconformity (process)",$S259="Yes",AND(ISNUMBER($W259),$W259&gt;=Settings!$C$20)),"YES – required","No"))</f>
        <v/>
      </c>
      <c r="AF259" s="33"/>
      <c r="AG259" s="33"/>
      <c r="AH259" s="32"/>
      <c r="AI259" s="33"/>
      <c r="AJ259" s="32"/>
      <c r="AK259" s="31" t="str">
        <f aca="false">IF(OR($B259="",$AJ259=""),"",$AJ259-$B259)</f>
        <v/>
      </c>
      <c r="AL259" s="31" t="str">
        <f aca="false">IF($X259="","",INDEX(Settings!$C$15:$C$17,MATCH($X259,Settings!$B$15:$B$17,0)))</f>
        <v/>
      </c>
      <c r="AM259" s="36" t="str">
        <f aca="true">IF($B259="","",IF($AH259="","No due date",IF($AI259="Closed",IF($AJ259="","Missing close date",IF($AJ259&lt;=$AH259,"On time","Late")),IF(TODAY()&gt;$AH259,"OVERDUE","In progress"))))</f>
        <v/>
      </c>
      <c r="AN259" s="35"/>
    </row>
    <row r="260" customFormat="false" ht="27.75" hidden="false" customHeight="true" outlineLevel="0" collapsed="false">
      <c r="A260" s="31" t="str">
        <f aca="false">IF($B260="","",ROW()-4)</f>
        <v/>
      </c>
      <c r="B260" s="32"/>
      <c r="C260" s="32"/>
      <c r="D260" s="33"/>
      <c r="E260" s="33"/>
      <c r="F260" s="33"/>
      <c r="G260" s="34"/>
      <c r="H260" s="33"/>
      <c r="I260" s="33"/>
      <c r="J260" s="33"/>
      <c r="K260" s="33"/>
      <c r="L260" s="35"/>
      <c r="M260" s="33"/>
      <c r="N260" s="33"/>
      <c r="O260" s="33"/>
      <c r="P260" s="33"/>
      <c r="Q260" s="35"/>
      <c r="R260" s="33"/>
      <c r="S260" s="33"/>
      <c r="T260" s="33"/>
      <c r="U260" s="33"/>
      <c r="V260" s="33"/>
      <c r="W260" s="31" t="str">
        <f aca="false">IF(OR($T260="",$U260="",$V260=""),"",$T260*$U260*$V260)</f>
        <v/>
      </c>
      <c r="X260" s="36" t="str">
        <f aca="false">IF($W260="","",IF($T260=5,"High",IF($W260&gt;=Settings!$C$20,"High",IF(OR($W260&gt;=Settings!$C$21,$T260=4),"Medium","Low"))))</f>
        <v/>
      </c>
      <c r="Y260" s="34"/>
      <c r="Z260" s="37" t="str">
        <f aca="false">IF($O260="","",$O260*Settings!$C$5)</f>
        <v/>
      </c>
      <c r="AA260" s="37" t="n">
        <f aca="false">IF(OR($H260&lt;&gt;"Complaint",$P260&lt;&gt;"Upheld",$T260=""),0,IF($G260="",Settings!$C$6,$G260)*INDEX(Settings!$C$8:$C$12,6-$T260))</f>
        <v>0</v>
      </c>
      <c r="AB260" s="37" t="str">
        <f aca="false">IF($B260="","",IF($Y260="",0,$Y260)+IF($Z260="",0,$Z260)+IF($AA260="",0,$AA260))</f>
        <v/>
      </c>
      <c r="AC260" s="35"/>
      <c r="AD260" s="33"/>
      <c r="AE260" s="36" t="str">
        <f aca="false">IF($B260="","",IF(OR($H260="Nonconformity (process)",$S260="Yes",AND(ISNUMBER($W260),$W260&gt;=Settings!$C$20)),"YES – required","No"))</f>
        <v/>
      </c>
      <c r="AF260" s="33"/>
      <c r="AG260" s="33"/>
      <c r="AH260" s="32"/>
      <c r="AI260" s="33"/>
      <c r="AJ260" s="32"/>
      <c r="AK260" s="31" t="str">
        <f aca="false">IF(OR($B260="",$AJ260=""),"",$AJ260-$B260)</f>
        <v/>
      </c>
      <c r="AL260" s="31" t="str">
        <f aca="false">IF($X260="","",INDEX(Settings!$C$15:$C$17,MATCH($X260,Settings!$B$15:$B$17,0)))</f>
        <v/>
      </c>
      <c r="AM260" s="36" t="str">
        <f aca="true">IF($B260="","",IF($AH260="","No due date",IF($AI260="Closed",IF($AJ260="","Missing close date",IF($AJ260&lt;=$AH260,"On time","Late")),IF(TODAY()&gt;$AH260,"OVERDUE","In progress"))))</f>
        <v/>
      </c>
      <c r="AN260" s="35"/>
    </row>
    <row r="261" customFormat="false" ht="27.75" hidden="false" customHeight="true" outlineLevel="0" collapsed="false">
      <c r="A261" s="31" t="str">
        <f aca="false">IF($B261="","",ROW()-4)</f>
        <v/>
      </c>
      <c r="B261" s="32"/>
      <c r="C261" s="32"/>
      <c r="D261" s="33"/>
      <c r="E261" s="33"/>
      <c r="F261" s="33"/>
      <c r="G261" s="34"/>
      <c r="H261" s="33"/>
      <c r="I261" s="33"/>
      <c r="J261" s="33"/>
      <c r="K261" s="33"/>
      <c r="L261" s="35"/>
      <c r="M261" s="33"/>
      <c r="N261" s="33"/>
      <c r="O261" s="33"/>
      <c r="P261" s="33"/>
      <c r="Q261" s="35"/>
      <c r="R261" s="33"/>
      <c r="S261" s="33"/>
      <c r="T261" s="33"/>
      <c r="U261" s="33"/>
      <c r="V261" s="33"/>
      <c r="W261" s="31" t="str">
        <f aca="false">IF(OR($T261="",$U261="",$V261=""),"",$T261*$U261*$V261)</f>
        <v/>
      </c>
      <c r="X261" s="36" t="str">
        <f aca="false">IF($W261="","",IF($T261=5,"High",IF($W261&gt;=Settings!$C$20,"High",IF(OR($W261&gt;=Settings!$C$21,$T261=4),"Medium","Low"))))</f>
        <v/>
      </c>
      <c r="Y261" s="34"/>
      <c r="Z261" s="37" t="str">
        <f aca="false">IF($O261="","",$O261*Settings!$C$5)</f>
        <v/>
      </c>
      <c r="AA261" s="37" t="n">
        <f aca="false">IF(OR($H261&lt;&gt;"Complaint",$P261&lt;&gt;"Upheld",$T261=""),0,IF($G261="",Settings!$C$6,$G261)*INDEX(Settings!$C$8:$C$12,6-$T261))</f>
        <v>0</v>
      </c>
      <c r="AB261" s="37" t="str">
        <f aca="false">IF($B261="","",IF($Y261="",0,$Y261)+IF($Z261="",0,$Z261)+IF($AA261="",0,$AA261))</f>
        <v/>
      </c>
      <c r="AC261" s="35"/>
      <c r="AD261" s="33"/>
      <c r="AE261" s="36" t="str">
        <f aca="false">IF($B261="","",IF(OR($H261="Nonconformity (process)",$S261="Yes",AND(ISNUMBER($W261),$W261&gt;=Settings!$C$20)),"YES – required","No"))</f>
        <v/>
      </c>
      <c r="AF261" s="33"/>
      <c r="AG261" s="33"/>
      <c r="AH261" s="32"/>
      <c r="AI261" s="33"/>
      <c r="AJ261" s="32"/>
      <c r="AK261" s="31" t="str">
        <f aca="false">IF(OR($B261="",$AJ261=""),"",$AJ261-$B261)</f>
        <v/>
      </c>
      <c r="AL261" s="31" t="str">
        <f aca="false">IF($X261="","",INDEX(Settings!$C$15:$C$17,MATCH($X261,Settings!$B$15:$B$17,0)))</f>
        <v/>
      </c>
      <c r="AM261" s="36" t="str">
        <f aca="true">IF($B261="","",IF($AH261="","No due date",IF($AI261="Closed",IF($AJ261="","Missing close date",IF($AJ261&lt;=$AH261,"On time","Late")),IF(TODAY()&gt;$AH261,"OVERDUE","In progress"))))</f>
        <v/>
      </c>
      <c r="AN261" s="35"/>
    </row>
    <row r="262" customFormat="false" ht="27.75" hidden="false" customHeight="true" outlineLevel="0" collapsed="false">
      <c r="A262" s="31" t="str">
        <f aca="false">IF($B262="","",ROW()-4)</f>
        <v/>
      </c>
      <c r="B262" s="32"/>
      <c r="C262" s="32"/>
      <c r="D262" s="33"/>
      <c r="E262" s="33"/>
      <c r="F262" s="33"/>
      <c r="G262" s="34"/>
      <c r="H262" s="33"/>
      <c r="I262" s="33"/>
      <c r="J262" s="33"/>
      <c r="K262" s="33"/>
      <c r="L262" s="35"/>
      <c r="M262" s="33"/>
      <c r="N262" s="33"/>
      <c r="O262" s="33"/>
      <c r="P262" s="33"/>
      <c r="Q262" s="35"/>
      <c r="R262" s="33"/>
      <c r="S262" s="33"/>
      <c r="T262" s="33"/>
      <c r="U262" s="33"/>
      <c r="V262" s="33"/>
      <c r="W262" s="31" t="str">
        <f aca="false">IF(OR($T262="",$U262="",$V262=""),"",$T262*$U262*$V262)</f>
        <v/>
      </c>
      <c r="X262" s="36" t="str">
        <f aca="false">IF($W262="","",IF($T262=5,"High",IF($W262&gt;=Settings!$C$20,"High",IF(OR($W262&gt;=Settings!$C$21,$T262=4),"Medium","Low"))))</f>
        <v/>
      </c>
      <c r="Y262" s="34"/>
      <c r="Z262" s="37" t="str">
        <f aca="false">IF($O262="","",$O262*Settings!$C$5)</f>
        <v/>
      </c>
      <c r="AA262" s="37" t="n">
        <f aca="false">IF(OR($H262&lt;&gt;"Complaint",$P262&lt;&gt;"Upheld",$T262=""),0,IF($G262="",Settings!$C$6,$G262)*INDEX(Settings!$C$8:$C$12,6-$T262))</f>
        <v>0</v>
      </c>
      <c r="AB262" s="37" t="str">
        <f aca="false">IF($B262="","",IF($Y262="",0,$Y262)+IF($Z262="",0,$Z262)+IF($AA262="",0,$AA262))</f>
        <v/>
      </c>
      <c r="AC262" s="35"/>
      <c r="AD262" s="33"/>
      <c r="AE262" s="36" t="str">
        <f aca="false">IF($B262="","",IF(OR($H262="Nonconformity (process)",$S262="Yes",AND(ISNUMBER($W262),$W262&gt;=Settings!$C$20)),"YES – required","No"))</f>
        <v/>
      </c>
      <c r="AF262" s="33"/>
      <c r="AG262" s="33"/>
      <c r="AH262" s="32"/>
      <c r="AI262" s="33"/>
      <c r="AJ262" s="32"/>
      <c r="AK262" s="31" t="str">
        <f aca="false">IF(OR($B262="",$AJ262=""),"",$AJ262-$B262)</f>
        <v/>
      </c>
      <c r="AL262" s="31" t="str">
        <f aca="false">IF($X262="","",INDEX(Settings!$C$15:$C$17,MATCH($X262,Settings!$B$15:$B$17,0)))</f>
        <v/>
      </c>
      <c r="AM262" s="36" t="str">
        <f aca="true">IF($B262="","",IF($AH262="","No due date",IF($AI262="Closed",IF($AJ262="","Missing close date",IF($AJ262&lt;=$AH262,"On time","Late")),IF(TODAY()&gt;$AH262,"OVERDUE","In progress"))))</f>
        <v/>
      </c>
      <c r="AN262" s="35"/>
    </row>
    <row r="263" customFormat="false" ht="27.75" hidden="false" customHeight="true" outlineLevel="0" collapsed="false">
      <c r="A263" s="31" t="str">
        <f aca="false">IF($B263="","",ROW()-4)</f>
        <v/>
      </c>
      <c r="B263" s="32"/>
      <c r="C263" s="32"/>
      <c r="D263" s="33"/>
      <c r="E263" s="33"/>
      <c r="F263" s="33"/>
      <c r="G263" s="34"/>
      <c r="H263" s="33"/>
      <c r="I263" s="33"/>
      <c r="J263" s="33"/>
      <c r="K263" s="33"/>
      <c r="L263" s="35"/>
      <c r="M263" s="33"/>
      <c r="N263" s="33"/>
      <c r="O263" s="33"/>
      <c r="P263" s="33"/>
      <c r="Q263" s="35"/>
      <c r="R263" s="33"/>
      <c r="S263" s="33"/>
      <c r="T263" s="33"/>
      <c r="U263" s="33"/>
      <c r="V263" s="33"/>
      <c r="W263" s="31" t="str">
        <f aca="false">IF(OR($T263="",$U263="",$V263=""),"",$T263*$U263*$V263)</f>
        <v/>
      </c>
      <c r="X263" s="36" t="str">
        <f aca="false">IF($W263="","",IF($T263=5,"High",IF($W263&gt;=Settings!$C$20,"High",IF(OR($W263&gt;=Settings!$C$21,$T263=4),"Medium","Low"))))</f>
        <v/>
      </c>
      <c r="Y263" s="34"/>
      <c r="Z263" s="37" t="str">
        <f aca="false">IF($O263="","",$O263*Settings!$C$5)</f>
        <v/>
      </c>
      <c r="AA263" s="37" t="n">
        <f aca="false">IF(OR($H263&lt;&gt;"Complaint",$P263&lt;&gt;"Upheld",$T263=""),0,IF($G263="",Settings!$C$6,$G263)*INDEX(Settings!$C$8:$C$12,6-$T263))</f>
        <v>0</v>
      </c>
      <c r="AB263" s="37" t="str">
        <f aca="false">IF($B263="","",IF($Y263="",0,$Y263)+IF($Z263="",0,$Z263)+IF($AA263="",0,$AA263))</f>
        <v/>
      </c>
      <c r="AC263" s="35"/>
      <c r="AD263" s="33"/>
      <c r="AE263" s="36" t="str">
        <f aca="false">IF($B263="","",IF(OR($H263="Nonconformity (process)",$S263="Yes",AND(ISNUMBER($W263),$W263&gt;=Settings!$C$20)),"YES – required","No"))</f>
        <v/>
      </c>
      <c r="AF263" s="33"/>
      <c r="AG263" s="33"/>
      <c r="AH263" s="32"/>
      <c r="AI263" s="33"/>
      <c r="AJ263" s="32"/>
      <c r="AK263" s="31" t="str">
        <f aca="false">IF(OR($B263="",$AJ263=""),"",$AJ263-$B263)</f>
        <v/>
      </c>
      <c r="AL263" s="31" t="str">
        <f aca="false">IF($X263="","",INDEX(Settings!$C$15:$C$17,MATCH($X263,Settings!$B$15:$B$17,0)))</f>
        <v/>
      </c>
      <c r="AM263" s="36" t="str">
        <f aca="true">IF($B263="","",IF($AH263="","No due date",IF($AI263="Closed",IF($AJ263="","Missing close date",IF($AJ263&lt;=$AH263,"On time","Late")),IF(TODAY()&gt;$AH263,"OVERDUE","In progress"))))</f>
        <v/>
      </c>
      <c r="AN263" s="35"/>
    </row>
    <row r="264" customFormat="false" ht="27.75" hidden="false" customHeight="true" outlineLevel="0" collapsed="false">
      <c r="A264" s="31" t="str">
        <f aca="false">IF($B264="","",ROW()-4)</f>
        <v/>
      </c>
      <c r="B264" s="32"/>
      <c r="C264" s="32"/>
      <c r="D264" s="33"/>
      <c r="E264" s="33"/>
      <c r="F264" s="33"/>
      <c r="G264" s="34"/>
      <c r="H264" s="33"/>
      <c r="I264" s="33"/>
      <c r="J264" s="33"/>
      <c r="K264" s="33"/>
      <c r="L264" s="35"/>
      <c r="M264" s="33"/>
      <c r="N264" s="33"/>
      <c r="O264" s="33"/>
      <c r="P264" s="33"/>
      <c r="Q264" s="35"/>
      <c r="R264" s="33"/>
      <c r="S264" s="33"/>
      <c r="T264" s="33"/>
      <c r="U264" s="33"/>
      <c r="V264" s="33"/>
      <c r="W264" s="31" t="str">
        <f aca="false">IF(OR($T264="",$U264="",$V264=""),"",$T264*$U264*$V264)</f>
        <v/>
      </c>
      <c r="X264" s="36" t="str">
        <f aca="false">IF($W264="","",IF($T264=5,"High",IF($W264&gt;=Settings!$C$20,"High",IF(OR($W264&gt;=Settings!$C$21,$T264=4),"Medium","Low"))))</f>
        <v/>
      </c>
      <c r="Y264" s="34"/>
      <c r="Z264" s="37" t="str">
        <f aca="false">IF($O264="","",$O264*Settings!$C$5)</f>
        <v/>
      </c>
      <c r="AA264" s="37" t="n">
        <f aca="false">IF(OR($H264&lt;&gt;"Complaint",$P264&lt;&gt;"Upheld",$T264=""),0,IF($G264="",Settings!$C$6,$G264)*INDEX(Settings!$C$8:$C$12,6-$T264))</f>
        <v>0</v>
      </c>
      <c r="AB264" s="37" t="str">
        <f aca="false">IF($B264="","",IF($Y264="",0,$Y264)+IF($Z264="",0,$Z264)+IF($AA264="",0,$AA264))</f>
        <v/>
      </c>
      <c r="AC264" s="35"/>
      <c r="AD264" s="33"/>
      <c r="AE264" s="36" t="str">
        <f aca="false">IF($B264="","",IF(OR($H264="Nonconformity (process)",$S264="Yes",AND(ISNUMBER($W264),$W264&gt;=Settings!$C$20)),"YES – required","No"))</f>
        <v/>
      </c>
      <c r="AF264" s="33"/>
      <c r="AG264" s="33"/>
      <c r="AH264" s="32"/>
      <c r="AI264" s="33"/>
      <c r="AJ264" s="32"/>
      <c r="AK264" s="31" t="str">
        <f aca="false">IF(OR($B264="",$AJ264=""),"",$AJ264-$B264)</f>
        <v/>
      </c>
      <c r="AL264" s="31" t="str">
        <f aca="false">IF($X264="","",INDEX(Settings!$C$15:$C$17,MATCH($X264,Settings!$B$15:$B$17,0)))</f>
        <v/>
      </c>
      <c r="AM264" s="36" t="str">
        <f aca="true">IF($B264="","",IF($AH264="","No due date",IF($AI264="Closed",IF($AJ264="","Missing close date",IF($AJ264&lt;=$AH264,"On time","Late")),IF(TODAY()&gt;$AH264,"OVERDUE","In progress"))))</f>
        <v/>
      </c>
      <c r="AN264" s="35"/>
    </row>
    <row r="265" customFormat="false" ht="27.75" hidden="false" customHeight="true" outlineLevel="0" collapsed="false">
      <c r="A265" s="31" t="str">
        <f aca="false">IF($B265="","",ROW()-4)</f>
        <v/>
      </c>
      <c r="B265" s="32"/>
      <c r="C265" s="32"/>
      <c r="D265" s="33"/>
      <c r="E265" s="33"/>
      <c r="F265" s="33"/>
      <c r="G265" s="34"/>
      <c r="H265" s="33"/>
      <c r="I265" s="33"/>
      <c r="J265" s="33"/>
      <c r="K265" s="33"/>
      <c r="L265" s="35"/>
      <c r="M265" s="33"/>
      <c r="N265" s="33"/>
      <c r="O265" s="33"/>
      <c r="P265" s="33"/>
      <c r="Q265" s="35"/>
      <c r="R265" s="33"/>
      <c r="S265" s="33"/>
      <c r="T265" s="33"/>
      <c r="U265" s="33"/>
      <c r="V265" s="33"/>
      <c r="W265" s="31" t="str">
        <f aca="false">IF(OR($T265="",$U265="",$V265=""),"",$T265*$U265*$V265)</f>
        <v/>
      </c>
      <c r="X265" s="36" t="str">
        <f aca="false">IF($W265="","",IF($T265=5,"High",IF($W265&gt;=Settings!$C$20,"High",IF(OR($W265&gt;=Settings!$C$21,$T265=4),"Medium","Low"))))</f>
        <v/>
      </c>
      <c r="Y265" s="34"/>
      <c r="Z265" s="37" t="str">
        <f aca="false">IF($O265="","",$O265*Settings!$C$5)</f>
        <v/>
      </c>
      <c r="AA265" s="37" t="n">
        <f aca="false">IF(OR($H265&lt;&gt;"Complaint",$P265&lt;&gt;"Upheld",$T265=""),0,IF($G265="",Settings!$C$6,$G265)*INDEX(Settings!$C$8:$C$12,6-$T265))</f>
        <v>0</v>
      </c>
      <c r="AB265" s="37" t="str">
        <f aca="false">IF($B265="","",IF($Y265="",0,$Y265)+IF($Z265="",0,$Z265)+IF($AA265="",0,$AA265))</f>
        <v/>
      </c>
      <c r="AC265" s="35"/>
      <c r="AD265" s="33"/>
      <c r="AE265" s="36" t="str">
        <f aca="false">IF($B265="","",IF(OR($H265="Nonconformity (process)",$S265="Yes",AND(ISNUMBER($W265),$W265&gt;=Settings!$C$20)),"YES – required","No"))</f>
        <v/>
      </c>
      <c r="AF265" s="33"/>
      <c r="AG265" s="33"/>
      <c r="AH265" s="32"/>
      <c r="AI265" s="33"/>
      <c r="AJ265" s="32"/>
      <c r="AK265" s="31" t="str">
        <f aca="false">IF(OR($B265="",$AJ265=""),"",$AJ265-$B265)</f>
        <v/>
      </c>
      <c r="AL265" s="31" t="str">
        <f aca="false">IF($X265="","",INDEX(Settings!$C$15:$C$17,MATCH($X265,Settings!$B$15:$B$17,0)))</f>
        <v/>
      </c>
      <c r="AM265" s="36" t="str">
        <f aca="true">IF($B265="","",IF($AH265="","No due date",IF($AI265="Closed",IF($AJ265="","Missing close date",IF($AJ265&lt;=$AH265,"On time","Late")),IF(TODAY()&gt;$AH265,"OVERDUE","In progress"))))</f>
        <v/>
      </c>
      <c r="AN265" s="35"/>
    </row>
    <row r="266" customFormat="false" ht="27.75" hidden="false" customHeight="true" outlineLevel="0" collapsed="false">
      <c r="A266" s="31" t="str">
        <f aca="false">IF($B266="","",ROW()-4)</f>
        <v/>
      </c>
      <c r="B266" s="32"/>
      <c r="C266" s="32"/>
      <c r="D266" s="33"/>
      <c r="E266" s="33"/>
      <c r="F266" s="33"/>
      <c r="G266" s="34"/>
      <c r="H266" s="33"/>
      <c r="I266" s="33"/>
      <c r="J266" s="33"/>
      <c r="K266" s="33"/>
      <c r="L266" s="35"/>
      <c r="M266" s="33"/>
      <c r="N266" s="33"/>
      <c r="O266" s="33"/>
      <c r="P266" s="33"/>
      <c r="Q266" s="35"/>
      <c r="R266" s="33"/>
      <c r="S266" s="33"/>
      <c r="T266" s="33"/>
      <c r="U266" s="33"/>
      <c r="V266" s="33"/>
      <c r="W266" s="31" t="str">
        <f aca="false">IF(OR($T266="",$U266="",$V266=""),"",$T266*$U266*$V266)</f>
        <v/>
      </c>
      <c r="X266" s="36" t="str">
        <f aca="false">IF($W266="","",IF($T266=5,"High",IF($W266&gt;=Settings!$C$20,"High",IF(OR($W266&gt;=Settings!$C$21,$T266=4),"Medium","Low"))))</f>
        <v/>
      </c>
      <c r="Y266" s="34"/>
      <c r="Z266" s="37" t="str">
        <f aca="false">IF($O266="","",$O266*Settings!$C$5)</f>
        <v/>
      </c>
      <c r="AA266" s="37" t="n">
        <f aca="false">IF(OR($H266&lt;&gt;"Complaint",$P266&lt;&gt;"Upheld",$T266=""),0,IF($G266="",Settings!$C$6,$G266)*INDEX(Settings!$C$8:$C$12,6-$T266))</f>
        <v>0</v>
      </c>
      <c r="AB266" s="37" t="str">
        <f aca="false">IF($B266="","",IF($Y266="",0,$Y266)+IF($Z266="",0,$Z266)+IF($AA266="",0,$AA266))</f>
        <v/>
      </c>
      <c r="AC266" s="35"/>
      <c r="AD266" s="33"/>
      <c r="AE266" s="36" t="str">
        <f aca="false">IF($B266="","",IF(OR($H266="Nonconformity (process)",$S266="Yes",AND(ISNUMBER($W266),$W266&gt;=Settings!$C$20)),"YES – required","No"))</f>
        <v/>
      </c>
      <c r="AF266" s="33"/>
      <c r="AG266" s="33"/>
      <c r="AH266" s="32"/>
      <c r="AI266" s="33"/>
      <c r="AJ266" s="32"/>
      <c r="AK266" s="31" t="str">
        <f aca="false">IF(OR($B266="",$AJ266=""),"",$AJ266-$B266)</f>
        <v/>
      </c>
      <c r="AL266" s="31" t="str">
        <f aca="false">IF($X266="","",INDEX(Settings!$C$15:$C$17,MATCH($X266,Settings!$B$15:$B$17,0)))</f>
        <v/>
      </c>
      <c r="AM266" s="36" t="str">
        <f aca="true">IF($B266="","",IF($AH266="","No due date",IF($AI266="Closed",IF($AJ266="","Missing close date",IF($AJ266&lt;=$AH266,"On time","Late")),IF(TODAY()&gt;$AH266,"OVERDUE","In progress"))))</f>
        <v/>
      </c>
      <c r="AN266" s="35"/>
    </row>
    <row r="267" customFormat="false" ht="27.75" hidden="false" customHeight="true" outlineLevel="0" collapsed="false">
      <c r="A267" s="31" t="str">
        <f aca="false">IF($B267="","",ROW()-4)</f>
        <v/>
      </c>
      <c r="B267" s="32"/>
      <c r="C267" s="32"/>
      <c r="D267" s="33"/>
      <c r="E267" s="33"/>
      <c r="F267" s="33"/>
      <c r="G267" s="34"/>
      <c r="H267" s="33"/>
      <c r="I267" s="33"/>
      <c r="J267" s="33"/>
      <c r="K267" s="33"/>
      <c r="L267" s="35"/>
      <c r="M267" s="33"/>
      <c r="N267" s="33"/>
      <c r="O267" s="33"/>
      <c r="P267" s="33"/>
      <c r="Q267" s="35"/>
      <c r="R267" s="33"/>
      <c r="S267" s="33"/>
      <c r="T267" s="33"/>
      <c r="U267" s="33"/>
      <c r="V267" s="33"/>
      <c r="W267" s="31" t="str">
        <f aca="false">IF(OR($T267="",$U267="",$V267=""),"",$T267*$U267*$V267)</f>
        <v/>
      </c>
      <c r="X267" s="36" t="str">
        <f aca="false">IF($W267="","",IF($T267=5,"High",IF($W267&gt;=Settings!$C$20,"High",IF(OR($W267&gt;=Settings!$C$21,$T267=4),"Medium","Low"))))</f>
        <v/>
      </c>
      <c r="Y267" s="34"/>
      <c r="Z267" s="37" t="str">
        <f aca="false">IF($O267="","",$O267*Settings!$C$5)</f>
        <v/>
      </c>
      <c r="AA267" s="37" t="n">
        <f aca="false">IF(OR($H267&lt;&gt;"Complaint",$P267&lt;&gt;"Upheld",$T267=""),0,IF($G267="",Settings!$C$6,$G267)*INDEX(Settings!$C$8:$C$12,6-$T267))</f>
        <v>0</v>
      </c>
      <c r="AB267" s="37" t="str">
        <f aca="false">IF($B267="","",IF($Y267="",0,$Y267)+IF($Z267="",0,$Z267)+IF($AA267="",0,$AA267))</f>
        <v/>
      </c>
      <c r="AC267" s="35"/>
      <c r="AD267" s="33"/>
      <c r="AE267" s="36" t="str">
        <f aca="false">IF($B267="","",IF(OR($H267="Nonconformity (process)",$S267="Yes",AND(ISNUMBER($W267),$W267&gt;=Settings!$C$20)),"YES – required","No"))</f>
        <v/>
      </c>
      <c r="AF267" s="33"/>
      <c r="AG267" s="33"/>
      <c r="AH267" s="32"/>
      <c r="AI267" s="33"/>
      <c r="AJ267" s="32"/>
      <c r="AK267" s="31" t="str">
        <f aca="false">IF(OR($B267="",$AJ267=""),"",$AJ267-$B267)</f>
        <v/>
      </c>
      <c r="AL267" s="31" t="str">
        <f aca="false">IF($X267="","",INDEX(Settings!$C$15:$C$17,MATCH($X267,Settings!$B$15:$B$17,0)))</f>
        <v/>
      </c>
      <c r="AM267" s="36" t="str">
        <f aca="true">IF($B267="","",IF($AH267="","No due date",IF($AI267="Closed",IF($AJ267="","Missing close date",IF($AJ267&lt;=$AH267,"On time","Late")),IF(TODAY()&gt;$AH267,"OVERDUE","In progress"))))</f>
        <v/>
      </c>
      <c r="AN267" s="35"/>
    </row>
    <row r="268" customFormat="false" ht="27.75" hidden="false" customHeight="true" outlineLevel="0" collapsed="false">
      <c r="A268" s="31" t="str">
        <f aca="false">IF($B268="","",ROW()-4)</f>
        <v/>
      </c>
      <c r="B268" s="32"/>
      <c r="C268" s="32"/>
      <c r="D268" s="33"/>
      <c r="E268" s="33"/>
      <c r="F268" s="33"/>
      <c r="G268" s="34"/>
      <c r="H268" s="33"/>
      <c r="I268" s="33"/>
      <c r="J268" s="33"/>
      <c r="K268" s="33"/>
      <c r="L268" s="35"/>
      <c r="M268" s="33"/>
      <c r="N268" s="33"/>
      <c r="O268" s="33"/>
      <c r="P268" s="33"/>
      <c r="Q268" s="35"/>
      <c r="R268" s="33"/>
      <c r="S268" s="33"/>
      <c r="T268" s="33"/>
      <c r="U268" s="33"/>
      <c r="V268" s="33"/>
      <c r="W268" s="31" t="str">
        <f aca="false">IF(OR($T268="",$U268="",$V268=""),"",$T268*$U268*$V268)</f>
        <v/>
      </c>
      <c r="X268" s="36" t="str">
        <f aca="false">IF($W268="","",IF($T268=5,"High",IF($W268&gt;=Settings!$C$20,"High",IF(OR($W268&gt;=Settings!$C$21,$T268=4),"Medium","Low"))))</f>
        <v/>
      </c>
      <c r="Y268" s="34"/>
      <c r="Z268" s="37" t="str">
        <f aca="false">IF($O268="","",$O268*Settings!$C$5)</f>
        <v/>
      </c>
      <c r="AA268" s="37" t="n">
        <f aca="false">IF(OR($H268&lt;&gt;"Complaint",$P268&lt;&gt;"Upheld",$T268=""),0,IF($G268="",Settings!$C$6,$G268)*INDEX(Settings!$C$8:$C$12,6-$T268))</f>
        <v>0</v>
      </c>
      <c r="AB268" s="37" t="str">
        <f aca="false">IF($B268="","",IF($Y268="",0,$Y268)+IF($Z268="",0,$Z268)+IF($AA268="",0,$AA268))</f>
        <v/>
      </c>
      <c r="AC268" s="35"/>
      <c r="AD268" s="33"/>
      <c r="AE268" s="36" t="str">
        <f aca="false">IF($B268="","",IF(OR($H268="Nonconformity (process)",$S268="Yes",AND(ISNUMBER($W268),$W268&gt;=Settings!$C$20)),"YES – required","No"))</f>
        <v/>
      </c>
      <c r="AF268" s="33"/>
      <c r="AG268" s="33"/>
      <c r="AH268" s="32"/>
      <c r="AI268" s="33"/>
      <c r="AJ268" s="32"/>
      <c r="AK268" s="31" t="str">
        <f aca="false">IF(OR($B268="",$AJ268=""),"",$AJ268-$B268)</f>
        <v/>
      </c>
      <c r="AL268" s="31" t="str">
        <f aca="false">IF($X268="","",INDEX(Settings!$C$15:$C$17,MATCH($X268,Settings!$B$15:$B$17,0)))</f>
        <v/>
      </c>
      <c r="AM268" s="36" t="str">
        <f aca="true">IF($B268="","",IF($AH268="","No due date",IF($AI268="Closed",IF($AJ268="","Missing close date",IF($AJ268&lt;=$AH268,"On time","Late")),IF(TODAY()&gt;$AH268,"OVERDUE","In progress"))))</f>
        <v/>
      </c>
      <c r="AN268" s="35"/>
    </row>
    <row r="269" customFormat="false" ht="27.75" hidden="false" customHeight="true" outlineLevel="0" collapsed="false">
      <c r="A269" s="31" t="str">
        <f aca="false">IF($B269="","",ROW()-4)</f>
        <v/>
      </c>
      <c r="B269" s="32"/>
      <c r="C269" s="32"/>
      <c r="D269" s="33"/>
      <c r="E269" s="33"/>
      <c r="F269" s="33"/>
      <c r="G269" s="34"/>
      <c r="H269" s="33"/>
      <c r="I269" s="33"/>
      <c r="J269" s="33"/>
      <c r="K269" s="33"/>
      <c r="L269" s="35"/>
      <c r="M269" s="33"/>
      <c r="N269" s="33"/>
      <c r="O269" s="33"/>
      <c r="P269" s="33"/>
      <c r="Q269" s="35"/>
      <c r="R269" s="33"/>
      <c r="S269" s="33"/>
      <c r="T269" s="33"/>
      <c r="U269" s="33"/>
      <c r="V269" s="33"/>
      <c r="W269" s="31" t="str">
        <f aca="false">IF(OR($T269="",$U269="",$V269=""),"",$T269*$U269*$V269)</f>
        <v/>
      </c>
      <c r="X269" s="36" t="str">
        <f aca="false">IF($W269="","",IF($T269=5,"High",IF($W269&gt;=Settings!$C$20,"High",IF(OR($W269&gt;=Settings!$C$21,$T269=4),"Medium","Low"))))</f>
        <v/>
      </c>
      <c r="Y269" s="34"/>
      <c r="Z269" s="37" t="str">
        <f aca="false">IF($O269="","",$O269*Settings!$C$5)</f>
        <v/>
      </c>
      <c r="AA269" s="37" t="n">
        <f aca="false">IF(OR($H269&lt;&gt;"Complaint",$P269&lt;&gt;"Upheld",$T269=""),0,IF($G269="",Settings!$C$6,$G269)*INDEX(Settings!$C$8:$C$12,6-$T269))</f>
        <v>0</v>
      </c>
      <c r="AB269" s="37" t="str">
        <f aca="false">IF($B269="","",IF($Y269="",0,$Y269)+IF($Z269="",0,$Z269)+IF($AA269="",0,$AA269))</f>
        <v/>
      </c>
      <c r="AC269" s="35"/>
      <c r="AD269" s="33"/>
      <c r="AE269" s="36" t="str">
        <f aca="false">IF($B269="","",IF(OR($H269="Nonconformity (process)",$S269="Yes",AND(ISNUMBER($W269),$W269&gt;=Settings!$C$20)),"YES – required","No"))</f>
        <v/>
      </c>
      <c r="AF269" s="33"/>
      <c r="AG269" s="33"/>
      <c r="AH269" s="32"/>
      <c r="AI269" s="33"/>
      <c r="AJ269" s="32"/>
      <c r="AK269" s="31" t="str">
        <f aca="false">IF(OR($B269="",$AJ269=""),"",$AJ269-$B269)</f>
        <v/>
      </c>
      <c r="AL269" s="31" t="str">
        <f aca="false">IF($X269="","",INDEX(Settings!$C$15:$C$17,MATCH($X269,Settings!$B$15:$B$17,0)))</f>
        <v/>
      </c>
      <c r="AM269" s="36" t="str">
        <f aca="true">IF($B269="","",IF($AH269="","No due date",IF($AI269="Closed",IF($AJ269="","Missing close date",IF($AJ269&lt;=$AH269,"On time","Late")),IF(TODAY()&gt;$AH269,"OVERDUE","In progress"))))</f>
        <v/>
      </c>
      <c r="AN269" s="35"/>
    </row>
    <row r="270" customFormat="false" ht="27.75" hidden="false" customHeight="true" outlineLevel="0" collapsed="false">
      <c r="A270" s="31" t="str">
        <f aca="false">IF($B270="","",ROW()-4)</f>
        <v/>
      </c>
      <c r="B270" s="32"/>
      <c r="C270" s="32"/>
      <c r="D270" s="33"/>
      <c r="E270" s="33"/>
      <c r="F270" s="33"/>
      <c r="G270" s="34"/>
      <c r="H270" s="33"/>
      <c r="I270" s="33"/>
      <c r="J270" s="33"/>
      <c r="K270" s="33"/>
      <c r="L270" s="35"/>
      <c r="M270" s="33"/>
      <c r="N270" s="33"/>
      <c r="O270" s="33"/>
      <c r="P270" s="33"/>
      <c r="Q270" s="35"/>
      <c r="R270" s="33"/>
      <c r="S270" s="33"/>
      <c r="T270" s="33"/>
      <c r="U270" s="33"/>
      <c r="V270" s="33"/>
      <c r="W270" s="31" t="str">
        <f aca="false">IF(OR($T270="",$U270="",$V270=""),"",$T270*$U270*$V270)</f>
        <v/>
      </c>
      <c r="X270" s="36" t="str">
        <f aca="false">IF($W270="","",IF($T270=5,"High",IF($W270&gt;=Settings!$C$20,"High",IF(OR($W270&gt;=Settings!$C$21,$T270=4),"Medium","Low"))))</f>
        <v/>
      </c>
      <c r="Y270" s="34"/>
      <c r="Z270" s="37" t="str">
        <f aca="false">IF($O270="","",$O270*Settings!$C$5)</f>
        <v/>
      </c>
      <c r="AA270" s="37" t="n">
        <f aca="false">IF(OR($H270&lt;&gt;"Complaint",$P270&lt;&gt;"Upheld",$T270=""),0,IF($G270="",Settings!$C$6,$G270)*INDEX(Settings!$C$8:$C$12,6-$T270))</f>
        <v>0</v>
      </c>
      <c r="AB270" s="37" t="str">
        <f aca="false">IF($B270="","",IF($Y270="",0,$Y270)+IF($Z270="",0,$Z270)+IF($AA270="",0,$AA270))</f>
        <v/>
      </c>
      <c r="AC270" s="35"/>
      <c r="AD270" s="33"/>
      <c r="AE270" s="36" t="str">
        <f aca="false">IF($B270="","",IF(OR($H270="Nonconformity (process)",$S270="Yes",AND(ISNUMBER($W270),$W270&gt;=Settings!$C$20)),"YES – required","No"))</f>
        <v/>
      </c>
      <c r="AF270" s="33"/>
      <c r="AG270" s="33"/>
      <c r="AH270" s="32"/>
      <c r="AI270" s="33"/>
      <c r="AJ270" s="32"/>
      <c r="AK270" s="31" t="str">
        <f aca="false">IF(OR($B270="",$AJ270=""),"",$AJ270-$B270)</f>
        <v/>
      </c>
      <c r="AL270" s="31" t="str">
        <f aca="false">IF($X270="","",INDEX(Settings!$C$15:$C$17,MATCH($X270,Settings!$B$15:$B$17,0)))</f>
        <v/>
      </c>
      <c r="AM270" s="36" t="str">
        <f aca="true">IF($B270="","",IF($AH270="","No due date",IF($AI270="Closed",IF($AJ270="","Missing close date",IF($AJ270&lt;=$AH270,"On time","Late")),IF(TODAY()&gt;$AH270,"OVERDUE","In progress"))))</f>
        <v/>
      </c>
      <c r="AN270" s="35"/>
    </row>
    <row r="271" customFormat="false" ht="27.75" hidden="false" customHeight="true" outlineLevel="0" collapsed="false">
      <c r="A271" s="31" t="str">
        <f aca="false">IF($B271="","",ROW()-4)</f>
        <v/>
      </c>
      <c r="B271" s="32"/>
      <c r="C271" s="32"/>
      <c r="D271" s="33"/>
      <c r="E271" s="33"/>
      <c r="F271" s="33"/>
      <c r="G271" s="34"/>
      <c r="H271" s="33"/>
      <c r="I271" s="33"/>
      <c r="J271" s="33"/>
      <c r="K271" s="33"/>
      <c r="L271" s="35"/>
      <c r="M271" s="33"/>
      <c r="N271" s="33"/>
      <c r="O271" s="33"/>
      <c r="P271" s="33"/>
      <c r="Q271" s="35"/>
      <c r="R271" s="33"/>
      <c r="S271" s="33"/>
      <c r="T271" s="33"/>
      <c r="U271" s="33"/>
      <c r="V271" s="33"/>
      <c r="W271" s="31" t="str">
        <f aca="false">IF(OR($T271="",$U271="",$V271=""),"",$T271*$U271*$V271)</f>
        <v/>
      </c>
      <c r="X271" s="36" t="str">
        <f aca="false">IF($W271="","",IF($T271=5,"High",IF($W271&gt;=Settings!$C$20,"High",IF(OR($W271&gt;=Settings!$C$21,$T271=4),"Medium","Low"))))</f>
        <v/>
      </c>
      <c r="Y271" s="34"/>
      <c r="Z271" s="37" t="str">
        <f aca="false">IF($O271="","",$O271*Settings!$C$5)</f>
        <v/>
      </c>
      <c r="AA271" s="37" t="n">
        <f aca="false">IF(OR($H271&lt;&gt;"Complaint",$P271&lt;&gt;"Upheld",$T271=""),0,IF($G271="",Settings!$C$6,$G271)*INDEX(Settings!$C$8:$C$12,6-$T271))</f>
        <v>0</v>
      </c>
      <c r="AB271" s="37" t="str">
        <f aca="false">IF($B271="","",IF($Y271="",0,$Y271)+IF($Z271="",0,$Z271)+IF($AA271="",0,$AA271))</f>
        <v/>
      </c>
      <c r="AC271" s="35"/>
      <c r="AD271" s="33"/>
      <c r="AE271" s="36" t="str">
        <f aca="false">IF($B271="","",IF(OR($H271="Nonconformity (process)",$S271="Yes",AND(ISNUMBER($W271),$W271&gt;=Settings!$C$20)),"YES – required","No"))</f>
        <v/>
      </c>
      <c r="AF271" s="33"/>
      <c r="AG271" s="33"/>
      <c r="AH271" s="32"/>
      <c r="AI271" s="33"/>
      <c r="AJ271" s="32"/>
      <c r="AK271" s="31" t="str">
        <f aca="false">IF(OR($B271="",$AJ271=""),"",$AJ271-$B271)</f>
        <v/>
      </c>
      <c r="AL271" s="31" t="str">
        <f aca="false">IF($X271="","",INDEX(Settings!$C$15:$C$17,MATCH($X271,Settings!$B$15:$B$17,0)))</f>
        <v/>
      </c>
      <c r="AM271" s="36" t="str">
        <f aca="true">IF($B271="","",IF($AH271="","No due date",IF($AI271="Closed",IF($AJ271="","Missing close date",IF($AJ271&lt;=$AH271,"On time","Late")),IF(TODAY()&gt;$AH271,"OVERDUE","In progress"))))</f>
        <v/>
      </c>
      <c r="AN271" s="35"/>
    </row>
    <row r="272" customFormat="false" ht="27.75" hidden="false" customHeight="true" outlineLevel="0" collapsed="false">
      <c r="A272" s="31" t="str">
        <f aca="false">IF($B272="","",ROW()-4)</f>
        <v/>
      </c>
      <c r="B272" s="32"/>
      <c r="C272" s="32"/>
      <c r="D272" s="33"/>
      <c r="E272" s="33"/>
      <c r="F272" s="33"/>
      <c r="G272" s="34"/>
      <c r="H272" s="33"/>
      <c r="I272" s="33"/>
      <c r="J272" s="33"/>
      <c r="K272" s="33"/>
      <c r="L272" s="35"/>
      <c r="M272" s="33"/>
      <c r="N272" s="33"/>
      <c r="O272" s="33"/>
      <c r="P272" s="33"/>
      <c r="Q272" s="35"/>
      <c r="R272" s="33"/>
      <c r="S272" s="33"/>
      <c r="T272" s="33"/>
      <c r="U272" s="33"/>
      <c r="V272" s="33"/>
      <c r="W272" s="31" t="str">
        <f aca="false">IF(OR($T272="",$U272="",$V272=""),"",$T272*$U272*$V272)</f>
        <v/>
      </c>
      <c r="X272" s="36" t="str">
        <f aca="false">IF($W272="","",IF($T272=5,"High",IF($W272&gt;=Settings!$C$20,"High",IF(OR($W272&gt;=Settings!$C$21,$T272=4),"Medium","Low"))))</f>
        <v/>
      </c>
      <c r="Y272" s="34"/>
      <c r="Z272" s="37" t="str">
        <f aca="false">IF($O272="","",$O272*Settings!$C$5)</f>
        <v/>
      </c>
      <c r="AA272" s="37" t="n">
        <f aca="false">IF(OR($H272&lt;&gt;"Complaint",$P272&lt;&gt;"Upheld",$T272=""),0,IF($G272="",Settings!$C$6,$G272)*INDEX(Settings!$C$8:$C$12,6-$T272))</f>
        <v>0</v>
      </c>
      <c r="AB272" s="37" t="str">
        <f aca="false">IF($B272="","",IF($Y272="",0,$Y272)+IF($Z272="",0,$Z272)+IF($AA272="",0,$AA272))</f>
        <v/>
      </c>
      <c r="AC272" s="35"/>
      <c r="AD272" s="33"/>
      <c r="AE272" s="36" t="str">
        <f aca="false">IF($B272="","",IF(OR($H272="Nonconformity (process)",$S272="Yes",AND(ISNUMBER($W272),$W272&gt;=Settings!$C$20)),"YES – required","No"))</f>
        <v/>
      </c>
      <c r="AF272" s="33"/>
      <c r="AG272" s="33"/>
      <c r="AH272" s="32"/>
      <c r="AI272" s="33"/>
      <c r="AJ272" s="32"/>
      <c r="AK272" s="31" t="str">
        <f aca="false">IF(OR($B272="",$AJ272=""),"",$AJ272-$B272)</f>
        <v/>
      </c>
      <c r="AL272" s="31" t="str">
        <f aca="false">IF($X272="","",INDEX(Settings!$C$15:$C$17,MATCH($X272,Settings!$B$15:$B$17,0)))</f>
        <v/>
      </c>
      <c r="AM272" s="36" t="str">
        <f aca="true">IF($B272="","",IF($AH272="","No due date",IF($AI272="Closed",IF($AJ272="","Missing close date",IF($AJ272&lt;=$AH272,"On time","Late")),IF(TODAY()&gt;$AH272,"OVERDUE","In progress"))))</f>
        <v/>
      </c>
      <c r="AN272" s="35"/>
    </row>
    <row r="273" customFormat="false" ht="27.75" hidden="false" customHeight="true" outlineLevel="0" collapsed="false">
      <c r="A273" s="31" t="str">
        <f aca="false">IF($B273="","",ROW()-4)</f>
        <v/>
      </c>
      <c r="B273" s="32"/>
      <c r="C273" s="32"/>
      <c r="D273" s="33"/>
      <c r="E273" s="33"/>
      <c r="F273" s="33"/>
      <c r="G273" s="34"/>
      <c r="H273" s="33"/>
      <c r="I273" s="33"/>
      <c r="J273" s="33"/>
      <c r="K273" s="33"/>
      <c r="L273" s="35"/>
      <c r="M273" s="33"/>
      <c r="N273" s="33"/>
      <c r="O273" s="33"/>
      <c r="P273" s="33"/>
      <c r="Q273" s="35"/>
      <c r="R273" s="33"/>
      <c r="S273" s="33"/>
      <c r="T273" s="33"/>
      <c r="U273" s="33"/>
      <c r="V273" s="33"/>
      <c r="W273" s="31" t="str">
        <f aca="false">IF(OR($T273="",$U273="",$V273=""),"",$T273*$U273*$V273)</f>
        <v/>
      </c>
      <c r="X273" s="36" t="str">
        <f aca="false">IF($W273="","",IF($T273=5,"High",IF($W273&gt;=Settings!$C$20,"High",IF(OR($W273&gt;=Settings!$C$21,$T273=4),"Medium","Low"))))</f>
        <v/>
      </c>
      <c r="Y273" s="34"/>
      <c r="Z273" s="37" t="str">
        <f aca="false">IF($O273="","",$O273*Settings!$C$5)</f>
        <v/>
      </c>
      <c r="AA273" s="37" t="n">
        <f aca="false">IF(OR($H273&lt;&gt;"Complaint",$P273&lt;&gt;"Upheld",$T273=""),0,IF($G273="",Settings!$C$6,$G273)*INDEX(Settings!$C$8:$C$12,6-$T273))</f>
        <v>0</v>
      </c>
      <c r="AB273" s="37" t="str">
        <f aca="false">IF($B273="","",IF($Y273="",0,$Y273)+IF($Z273="",0,$Z273)+IF($AA273="",0,$AA273))</f>
        <v/>
      </c>
      <c r="AC273" s="35"/>
      <c r="AD273" s="33"/>
      <c r="AE273" s="36" t="str">
        <f aca="false">IF($B273="","",IF(OR($H273="Nonconformity (process)",$S273="Yes",AND(ISNUMBER($W273),$W273&gt;=Settings!$C$20)),"YES – required","No"))</f>
        <v/>
      </c>
      <c r="AF273" s="33"/>
      <c r="AG273" s="33"/>
      <c r="AH273" s="32"/>
      <c r="AI273" s="33"/>
      <c r="AJ273" s="32"/>
      <c r="AK273" s="31" t="str">
        <f aca="false">IF(OR($B273="",$AJ273=""),"",$AJ273-$B273)</f>
        <v/>
      </c>
      <c r="AL273" s="31" t="str">
        <f aca="false">IF($X273="","",INDEX(Settings!$C$15:$C$17,MATCH($X273,Settings!$B$15:$B$17,0)))</f>
        <v/>
      </c>
      <c r="AM273" s="36" t="str">
        <f aca="true">IF($B273="","",IF($AH273="","No due date",IF($AI273="Closed",IF($AJ273="","Missing close date",IF($AJ273&lt;=$AH273,"On time","Late")),IF(TODAY()&gt;$AH273,"OVERDUE","In progress"))))</f>
        <v/>
      </c>
      <c r="AN273" s="35"/>
    </row>
    <row r="274" customFormat="false" ht="27.75" hidden="false" customHeight="true" outlineLevel="0" collapsed="false">
      <c r="A274" s="31" t="str">
        <f aca="false">IF($B274="","",ROW()-4)</f>
        <v/>
      </c>
      <c r="B274" s="32"/>
      <c r="C274" s="32"/>
      <c r="D274" s="33"/>
      <c r="E274" s="33"/>
      <c r="F274" s="33"/>
      <c r="G274" s="34"/>
      <c r="H274" s="33"/>
      <c r="I274" s="33"/>
      <c r="J274" s="33"/>
      <c r="K274" s="33"/>
      <c r="L274" s="35"/>
      <c r="M274" s="33"/>
      <c r="N274" s="33"/>
      <c r="O274" s="33"/>
      <c r="P274" s="33"/>
      <c r="Q274" s="35"/>
      <c r="R274" s="33"/>
      <c r="S274" s="33"/>
      <c r="T274" s="33"/>
      <c r="U274" s="33"/>
      <c r="V274" s="33"/>
      <c r="W274" s="31" t="str">
        <f aca="false">IF(OR($T274="",$U274="",$V274=""),"",$T274*$U274*$V274)</f>
        <v/>
      </c>
      <c r="X274" s="36" t="str">
        <f aca="false">IF($W274="","",IF($T274=5,"High",IF($W274&gt;=Settings!$C$20,"High",IF(OR($W274&gt;=Settings!$C$21,$T274=4),"Medium","Low"))))</f>
        <v/>
      </c>
      <c r="Y274" s="34"/>
      <c r="Z274" s="37" t="str">
        <f aca="false">IF($O274="","",$O274*Settings!$C$5)</f>
        <v/>
      </c>
      <c r="AA274" s="37" t="n">
        <f aca="false">IF(OR($H274&lt;&gt;"Complaint",$P274&lt;&gt;"Upheld",$T274=""),0,IF($G274="",Settings!$C$6,$G274)*INDEX(Settings!$C$8:$C$12,6-$T274))</f>
        <v>0</v>
      </c>
      <c r="AB274" s="37" t="str">
        <f aca="false">IF($B274="","",IF($Y274="",0,$Y274)+IF($Z274="",0,$Z274)+IF($AA274="",0,$AA274))</f>
        <v/>
      </c>
      <c r="AC274" s="35"/>
      <c r="AD274" s="33"/>
      <c r="AE274" s="36" t="str">
        <f aca="false">IF($B274="","",IF(OR($H274="Nonconformity (process)",$S274="Yes",AND(ISNUMBER($W274),$W274&gt;=Settings!$C$20)),"YES – required","No"))</f>
        <v/>
      </c>
      <c r="AF274" s="33"/>
      <c r="AG274" s="33"/>
      <c r="AH274" s="32"/>
      <c r="AI274" s="33"/>
      <c r="AJ274" s="32"/>
      <c r="AK274" s="31" t="str">
        <f aca="false">IF(OR($B274="",$AJ274=""),"",$AJ274-$B274)</f>
        <v/>
      </c>
      <c r="AL274" s="31" t="str">
        <f aca="false">IF($X274="","",INDEX(Settings!$C$15:$C$17,MATCH($X274,Settings!$B$15:$B$17,0)))</f>
        <v/>
      </c>
      <c r="AM274" s="36" t="str">
        <f aca="true">IF($B274="","",IF($AH274="","No due date",IF($AI274="Closed",IF($AJ274="","Missing close date",IF($AJ274&lt;=$AH274,"On time","Late")),IF(TODAY()&gt;$AH274,"OVERDUE","In progress"))))</f>
        <v/>
      </c>
      <c r="AN274" s="35"/>
    </row>
    <row r="275" customFormat="false" ht="27.75" hidden="false" customHeight="true" outlineLevel="0" collapsed="false">
      <c r="A275" s="31" t="str">
        <f aca="false">IF($B275="","",ROW()-4)</f>
        <v/>
      </c>
      <c r="B275" s="32"/>
      <c r="C275" s="32"/>
      <c r="D275" s="33"/>
      <c r="E275" s="33"/>
      <c r="F275" s="33"/>
      <c r="G275" s="34"/>
      <c r="H275" s="33"/>
      <c r="I275" s="33"/>
      <c r="J275" s="33"/>
      <c r="K275" s="33"/>
      <c r="L275" s="35"/>
      <c r="M275" s="33"/>
      <c r="N275" s="33"/>
      <c r="O275" s="33"/>
      <c r="P275" s="33"/>
      <c r="Q275" s="35"/>
      <c r="R275" s="33"/>
      <c r="S275" s="33"/>
      <c r="T275" s="33"/>
      <c r="U275" s="33"/>
      <c r="V275" s="33"/>
      <c r="W275" s="31" t="str">
        <f aca="false">IF(OR($T275="",$U275="",$V275=""),"",$T275*$U275*$V275)</f>
        <v/>
      </c>
      <c r="X275" s="36" t="str">
        <f aca="false">IF($W275="","",IF($T275=5,"High",IF($W275&gt;=Settings!$C$20,"High",IF(OR($W275&gt;=Settings!$C$21,$T275=4),"Medium","Low"))))</f>
        <v/>
      </c>
      <c r="Y275" s="34"/>
      <c r="Z275" s="37" t="str">
        <f aca="false">IF($O275="","",$O275*Settings!$C$5)</f>
        <v/>
      </c>
      <c r="AA275" s="37" t="n">
        <f aca="false">IF(OR($H275&lt;&gt;"Complaint",$P275&lt;&gt;"Upheld",$T275=""),0,IF($G275="",Settings!$C$6,$G275)*INDEX(Settings!$C$8:$C$12,6-$T275))</f>
        <v>0</v>
      </c>
      <c r="AB275" s="37" t="str">
        <f aca="false">IF($B275="","",IF($Y275="",0,$Y275)+IF($Z275="",0,$Z275)+IF($AA275="",0,$AA275))</f>
        <v/>
      </c>
      <c r="AC275" s="35"/>
      <c r="AD275" s="33"/>
      <c r="AE275" s="36" t="str">
        <f aca="false">IF($B275="","",IF(OR($H275="Nonconformity (process)",$S275="Yes",AND(ISNUMBER($W275),$W275&gt;=Settings!$C$20)),"YES – required","No"))</f>
        <v/>
      </c>
      <c r="AF275" s="33"/>
      <c r="AG275" s="33"/>
      <c r="AH275" s="32"/>
      <c r="AI275" s="33"/>
      <c r="AJ275" s="32"/>
      <c r="AK275" s="31" t="str">
        <f aca="false">IF(OR($B275="",$AJ275=""),"",$AJ275-$B275)</f>
        <v/>
      </c>
      <c r="AL275" s="31" t="str">
        <f aca="false">IF($X275="","",INDEX(Settings!$C$15:$C$17,MATCH($X275,Settings!$B$15:$B$17,0)))</f>
        <v/>
      </c>
      <c r="AM275" s="36" t="str">
        <f aca="true">IF($B275="","",IF($AH275="","No due date",IF($AI275="Closed",IF($AJ275="","Missing close date",IF($AJ275&lt;=$AH275,"On time","Late")),IF(TODAY()&gt;$AH275,"OVERDUE","In progress"))))</f>
        <v/>
      </c>
      <c r="AN275" s="35"/>
    </row>
    <row r="276" customFormat="false" ht="27.75" hidden="false" customHeight="true" outlineLevel="0" collapsed="false">
      <c r="A276" s="31" t="str">
        <f aca="false">IF($B276="","",ROW()-4)</f>
        <v/>
      </c>
      <c r="B276" s="32"/>
      <c r="C276" s="32"/>
      <c r="D276" s="33"/>
      <c r="E276" s="33"/>
      <c r="F276" s="33"/>
      <c r="G276" s="34"/>
      <c r="H276" s="33"/>
      <c r="I276" s="33"/>
      <c r="J276" s="33"/>
      <c r="K276" s="33"/>
      <c r="L276" s="35"/>
      <c r="M276" s="33"/>
      <c r="N276" s="33"/>
      <c r="O276" s="33"/>
      <c r="P276" s="33"/>
      <c r="Q276" s="35"/>
      <c r="R276" s="33"/>
      <c r="S276" s="33"/>
      <c r="T276" s="33"/>
      <c r="U276" s="33"/>
      <c r="V276" s="33"/>
      <c r="W276" s="31" t="str">
        <f aca="false">IF(OR($T276="",$U276="",$V276=""),"",$T276*$U276*$V276)</f>
        <v/>
      </c>
      <c r="X276" s="36" t="str">
        <f aca="false">IF($W276="","",IF($T276=5,"High",IF($W276&gt;=Settings!$C$20,"High",IF(OR($W276&gt;=Settings!$C$21,$T276=4),"Medium","Low"))))</f>
        <v/>
      </c>
      <c r="Y276" s="34"/>
      <c r="Z276" s="37" t="str">
        <f aca="false">IF($O276="","",$O276*Settings!$C$5)</f>
        <v/>
      </c>
      <c r="AA276" s="37" t="n">
        <f aca="false">IF(OR($H276&lt;&gt;"Complaint",$P276&lt;&gt;"Upheld",$T276=""),0,IF($G276="",Settings!$C$6,$G276)*INDEX(Settings!$C$8:$C$12,6-$T276))</f>
        <v>0</v>
      </c>
      <c r="AB276" s="37" t="str">
        <f aca="false">IF($B276="","",IF($Y276="",0,$Y276)+IF($Z276="",0,$Z276)+IF($AA276="",0,$AA276))</f>
        <v/>
      </c>
      <c r="AC276" s="35"/>
      <c r="AD276" s="33"/>
      <c r="AE276" s="36" t="str">
        <f aca="false">IF($B276="","",IF(OR($H276="Nonconformity (process)",$S276="Yes",AND(ISNUMBER($W276),$W276&gt;=Settings!$C$20)),"YES – required","No"))</f>
        <v/>
      </c>
      <c r="AF276" s="33"/>
      <c r="AG276" s="33"/>
      <c r="AH276" s="32"/>
      <c r="AI276" s="33"/>
      <c r="AJ276" s="32"/>
      <c r="AK276" s="31" t="str">
        <f aca="false">IF(OR($B276="",$AJ276=""),"",$AJ276-$B276)</f>
        <v/>
      </c>
      <c r="AL276" s="31" t="str">
        <f aca="false">IF($X276="","",INDEX(Settings!$C$15:$C$17,MATCH($X276,Settings!$B$15:$B$17,0)))</f>
        <v/>
      </c>
      <c r="AM276" s="36" t="str">
        <f aca="true">IF($B276="","",IF($AH276="","No due date",IF($AI276="Closed",IF($AJ276="","Missing close date",IF($AJ276&lt;=$AH276,"On time","Late")),IF(TODAY()&gt;$AH276,"OVERDUE","In progress"))))</f>
        <v/>
      </c>
      <c r="AN276" s="35"/>
    </row>
    <row r="277" customFormat="false" ht="27.75" hidden="false" customHeight="true" outlineLevel="0" collapsed="false">
      <c r="A277" s="31" t="str">
        <f aca="false">IF($B277="","",ROW()-4)</f>
        <v/>
      </c>
      <c r="B277" s="32"/>
      <c r="C277" s="32"/>
      <c r="D277" s="33"/>
      <c r="E277" s="33"/>
      <c r="F277" s="33"/>
      <c r="G277" s="34"/>
      <c r="H277" s="33"/>
      <c r="I277" s="33"/>
      <c r="J277" s="33"/>
      <c r="K277" s="33"/>
      <c r="L277" s="35"/>
      <c r="M277" s="33"/>
      <c r="N277" s="33"/>
      <c r="O277" s="33"/>
      <c r="P277" s="33"/>
      <c r="Q277" s="35"/>
      <c r="R277" s="33"/>
      <c r="S277" s="33"/>
      <c r="T277" s="33"/>
      <c r="U277" s="33"/>
      <c r="V277" s="33"/>
      <c r="W277" s="31" t="str">
        <f aca="false">IF(OR($T277="",$U277="",$V277=""),"",$T277*$U277*$V277)</f>
        <v/>
      </c>
      <c r="X277" s="36" t="str">
        <f aca="false">IF($W277="","",IF($T277=5,"High",IF($W277&gt;=Settings!$C$20,"High",IF(OR($W277&gt;=Settings!$C$21,$T277=4),"Medium","Low"))))</f>
        <v/>
      </c>
      <c r="Y277" s="34"/>
      <c r="Z277" s="37" t="str">
        <f aca="false">IF($O277="","",$O277*Settings!$C$5)</f>
        <v/>
      </c>
      <c r="AA277" s="37" t="n">
        <f aca="false">IF(OR($H277&lt;&gt;"Complaint",$P277&lt;&gt;"Upheld",$T277=""),0,IF($G277="",Settings!$C$6,$G277)*INDEX(Settings!$C$8:$C$12,6-$T277))</f>
        <v>0</v>
      </c>
      <c r="AB277" s="37" t="str">
        <f aca="false">IF($B277="","",IF($Y277="",0,$Y277)+IF($Z277="",0,$Z277)+IF($AA277="",0,$AA277))</f>
        <v/>
      </c>
      <c r="AC277" s="35"/>
      <c r="AD277" s="33"/>
      <c r="AE277" s="36" t="str">
        <f aca="false">IF($B277="","",IF(OR($H277="Nonconformity (process)",$S277="Yes",AND(ISNUMBER($W277),$W277&gt;=Settings!$C$20)),"YES – required","No"))</f>
        <v/>
      </c>
      <c r="AF277" s="33"/>
      <c r="AG277" s="33"/>
      <c r="AH277" s="32"/>
      <c r="AI277" s="33"/>
      <c r="AJ277" s="32"/>
      <c r="AK277" s="31" t="str">
        <f aca="false">IF(OR($B277="",$AJ277=""),"",$AJ277-$B277)</f>
        <v/>
      </c>
      <c r="AL277" s="31" t="str">
        <f aca="false">IF($X277="","",INDEX(Settings!$C$15:$C$17,MATCH($X277,Settings!$B$15:$B$17,0)))</f>
        <v/>
      </c>
      <c r="AM277" s="36" t="str">
        <f aca="true">IF($B277="","",IF($AH277="","No due date",IF($AI277="Closed",IF($AJ277="","Missing close date",IF($AJ277&lt;=$AH277,"On time","Late")),IF(TODAY()&gt;$AH277,"OVERDUE","In progress"))))</f>
        <v/>
      </c>
      <c r="AN277" s="35"/>
    </row>
    <row r="278" customFormat="false" ht="27.75" hidden="false" customHeight="true" outlineLevel="0" collapsed="false">
      <c r="A278" s="31" t="str">
        <f aca="false">IF($B278="","",ROW()-4)</f>
        <v/>
      </c>
      <c r="B278" s="32"/>
      <c r="C278" s="32"/>
      <c r="D278" s="33"/>
      <c r="E278" s="33"/>
      <c r="F278" s="33"/>
      <c r="G278" s="34"/>
      <c r="H278" s="33"/>
      <c r="I278" s="33"/>
      <c r="J278" s="33"/>
      <c r="K278" s="33"/>
      <c r="L278" s="35"/>
      <c r="M278" s="33"/>
      <c r="N278" s="33"/>
      <c r="O278" s="33"/>
      <c r="P278" s="33"/>
      <c r="Q278" s="35"/>
      <c r="R278" s="33"/>
      <c r="S278" s="33"/>
      <c r="T278" s="33"/>
      <c r="U278" s="33"/>
      <c r="V278" s="33"/>
      <c r="W278" s="31" t="str">
        <f aca="false">IF(OR($T278="",$U278="",$V278=""),"",$T278*$U278*$V278)</f>
        <v/>
      </c>
      <c r="X278" s="36" t="str">
        <f aca="false">IF($W278="","",IF($T278=5,"High",IF($W278&gt;=Settings!$C$20,"High",IF(OR($W278&gt;=Settings!$C$21,$T278=4),"Medium","Low"))))</f>
        <v/>
      </c>
      <c r="Y278" s="34"/>
      <c r="Z278" s="37" t="str">
        <f aca="false">IF($O278="","",$O278*Settings!$C$5)</f>
        <v/>
      </c>
      <c r="AA278" s="37" t="n">
        <f aca="false">IF(OR($H278&lt;&gt;"Complaint",$P278&lt;&gt;"Upheld",$T278=""),0,IF($G278="",Settings!$C$6,$G278)*INDEX(Settings!$C$8:$C$12,6-$T278))</f>
        <v>0</v>
      </c>
      <c r="AB278" s="37" t="str">
        <f aca="false">IF($B278="","",IF($Y278="",0,$Y278)+IF($Z278="",0,$Z278)+IF($AA278="",0,$AA278))</f>
        <v/>
      </c>
      <c r="AC278" s="35"/>
      <c r="AD278" s="33"/>
      <c r="AE278" s="36" t="str">
        <f aca="false">IF($B278="","",IF(OR($H278="Nonconformity (process)",$S278="Yes",AND(ISNUMBER($W278),$W278&gt;=Settings!$C$20)),"YES – required","No"))</f>
        <v/>
      </c>
      <c r="AF278" s="33"/>
      <c r="AG278" s="33"/>
      <c r="AH278" s="32"/>
      <c r="AI278" s="33"/>
      <c r="AJ278" s="32"/>
      <c r="AK278" s="31" t="str">
        <f aca="false">IF(OR($B278="",$AJ278=""),"",$AJ278-$B278)</f>
        <v/>
      </c>
      <c r="AL278" s="31" t="str">
        <f aca="false">IF($X278="","",INDEX(Settings!$C$15:$C$17,MATCH($X278,Settings!$B$15:$B$17,0)))</f>
        <v/>
      </c>
      <c r="AM278" s="36" t="str">
        <f aca="true">IF($B278="","",IF($AH278="","No due date",IF($AI278="Closed",IF($AJ278="","Missing close date",IF($AJ278&lt;=$AH278,"On time","Late")),IF(TODAY()&gt;$AH278,"OVERDUE","In progress"))))</f>
        <v/>
      </c>
      <c r="AN278" s="35"/>
    </row>
    <row r="279" customFormat="false" ht="27.75" hidden="false" customHeight="true" outlineLevel="0" collapsed="false">
      <c r="A279" s="31" t="str">
        <f aca="false">IF($B279="","",ROW()-4)</f>
        <v/>
      </c>
      <c r="B279" s="32"/>
      <c r="C279" s="32"/>
      <c r="D279" s="33"/>
      <c r="E279" s="33"/>
      <c r="F279" s="33"/>
      <c r="G279" s="34"/>
      <c r="H279" s="33"/>
      <c r="I279" s="33"/>
      <c r="J279" s="33"/>
      <c r="K279" s="33"/>
      <c r="L279" s="35"/>
      <c r="M279" s="33"/>
      <c r="N279" s="33"/>
      <c r="O279" s="33"/>
      <c r="P279" s="33"/>
      <c r="Q279" s="35"/>
      <c r="R279" s="33"/>
      <c r="S279" s="33"/>
      <c r="T279" s="33"/>
      <c r="U279" s="33"/>
      <c r="V279" s="33"/>
      <c r="W279" s="31" t="str">
        <f aca="false">IF(OR($T279="",$U279="",$V279=""),"",$T279*$U279*$V279)</f>
        <v/>
      </c>
      <c r="X279" s="36" t="str">
        <f aca="false">IF($W279="","",IF($T279=5,"High",IF($W279&gt;=Settings!$C$20,"High",IF(OR($W279&gt;=Settings!$C$21,$T279=4),"Medium","Low"))))</f>
        <v/>
      </c>
      <c r="Y279" s="34"/>
      <c r="Z279" s="37" t="str">
        <f aca="false">IF($O279="","",$O279*Settings!$C$5)</f>
        <v/>
      </c>
      <c r="AA279" s="37" t="n">
        <f aca="false">IF(OR($H279&lt;&gt;"Complaint",$P279&lt;&gt;"Upheld",$T279=""),0,IF($G279="",Settings!$C$6,$G279)*INDEX(Settings!$C$8:$C$12,6-$T279))</f>
        <v>0</v>
      </c>
      <c r="AB279" s="37" t="str">
        <f aca="false">IF($B279="","",IF($Y279="",0,$Y279)+IF($Z279="",0,$Z279)+IF($AA279="",0,$AA279))</f>
        <v/>
      </c>
      <c r="AC279" s="35"/>
      <c r="AD279" s="33"/>
      <c r="AE279" s="36" t="str">
        <f aca="false">IF($B279="","",IF(OR($H279="Nonconformity (process)",$S279="Yes",AND(ISNUMBER($W279),$W279&gt;=Settings!$C$20)),"YES – required","No"))</f>
        <v/>
      </c>
      <c r="AF279" s="33"/>
      <c r="AG279" s="33"/>
      <c r="AH279" s="32"/>
      <c r="AI279" s="33"/>
      <c r="AJ279" s="32"/>
      <c r="AK279" s="31" t="str">
        <f aca="false">IF(OR($B279="",$AJ279=""),"",$AJ279-$B279)</f>
        <v/>
      </c>
      <c r="AL279" s="31" t="str">
        <f aca="false">IF($X279="","",INDEX(Settings!$C$15:$C$17,MATCH($X279,Settings!$B$15:$B$17,0)))</f>
        <v/>
      </c>
      <c r="AM279" s="36" t="str">
        <f aca="true">IF($B279="","",IF($AH279="","No due date",IF($AI279="Closed",IF($AJ279="","Missing close date",IF($AJ279&lt;=$AH279,"On time","Late")),IF(TODAY()&gt;$AH279,"OVERDUE","In progress"))))</f>
        <v/>
      </c>
      <c r="AN279" s="35"/>
    </row>
    <row r="280" customFormat="false" ht="27.75" hidden="false" customHeight="true" outlineLevel="0" collapsed="false">
      <c r="A280" s="31" t="str">
        <f aca="false">IF($B280="","",ROW()-4)</f>
        <v/>
      </c>
      <c r="B280" s="32"/>
      <c r="C280" s="32"/>
      <c r="D280" s="33"/>
      <c r="E280" s="33"/>
      <c r="F280" s="33"/>
      <c r="G280" s="34"/>
      <c r="H280" s="33"/>
      <c r="I280" s="33"/>
      <c r="J280" s="33"/>
      <c r="K280" s="33"/>
      <c r="L280" s="35"/>
      <c r="M280" s="33"/>
      <c r="N280" s="33"/>
      <c r="O280" s="33"/>
      <c r="P280" s="33"/>
      <c r="Q280" s="35"/>
      <c r="R280" s="33"/>
      <c r="S280" s="33"/>
      <c r="T280" s="33"/>
      <c r="U280" s="33"/>
      <c r="V280" s="33"/>
      <c r="W280" s="31" t="str">
        <f aca="false">IF(OR($T280="",$U280="",$V280=""),"",$T280*$U280*$V280)</f>
        <v/>
      </c>
      <c r="X280" s="36" t="str">
        <f aca="false">IF($W280="","",IF($T280=5,"High",IF($W280&gt;=Settings!$C$20,"High",IF(OR($W280&gt;=Settings!$C$21,$T280=4),"Medium","Low"))))</f>
        <v/>
      </c>
      <c r="Y280" s="34"/>
      <c r="Z280" s="37" t="str">
        <f aca="false">IF($O280="","",$O280*Settings!$C$5)</f>
        <v/>
      </c>
      <c r="AA280" s="37" t="n">
        <f aca="false">IF(OR($H280&lt;&gt;"Complaint",$P280&lt;&gt;"Upheld",$T280=""),0,IF($G280="",Settings!$C$6,$G280)*INDEX(Settings!$C$8:$C$12,6-$T280))</f>
        <v>0</v>
      </c>
      <c r="AB280" s="37" t="str">
        <f aca="false">IF($B280="","",IF($Y280="",0,$Y280)+IF($Z280="",0,$Z280)+IF($AA280="",0,$AA280))</f>
        <v/>
      </c>
      <c r="AC280" s="35"/>
      <c r="AD280" s="33"/>
      <c r="AE280" s="36" t="str">
        <f aca="false">IF($B280="","",IF(OR($H280="Nonconformity (process)",$S280="Yes",AND(ISNUMBER($W280),$W280&gt;=Settings!$C$20)),"YES – required","No"))</f>
        <v/>
      </c>
      <c r="AF280" s="33"/>
      <c r="AG280" s="33"/>
      <c r="AH280" s="32"/>
      <c r="AI280" s="33"/>
      <c r="AJ280" s="32"/>
      <c r="AK280" s="31" t="str">
        <f aca="false">IF(OR($B280="",$AJ280=""),"",$AJ280-$B280)</f>
        <v/>
      </c>
      <c r="AL280" s="31" t="str">
        <f aca="false">IF($X280="","",INDEX(Settings!$C$15:$C$17,MATCH($X280,Settings!$B$15:$B$17,0)))</f>
        <v/>
      </c>
      <c r="AM280" s="36" t="str">
        <f aca="true">IF($B280="","",IF($AH280="","No due date",IF($AI280="Closed",IF($AJ280="","Missing close date",IF($AJ280&lt;=$AH280,"On time","Late")),IF(TODAY()&gt;$AH280,"OVERDUE","In progress"))))</f>
        <v/>
      </c>
      <c r="AN280" s="35"/>
    </row>
    <row r="281" customFormat="false" ht="27.75" hidden="false" customHeight="true" outlineLevel="0" collapsed="false">
      <c r="A281" s="31" t="str">
        <f aca="false">IF($B281="","",ROW()-4)</f>
        <v/>
      </c>
      <c r="B281" s="32"/>
      <c r="C281" s="32"/>
      <c r="D281" s="33"/>
      <c r="E281" s="33"/>
      <c r="F281" s="33"/>
      <c r="G281" s="34"/>
      <c r="H281" s="33"/>
      <c r="I281" s="33"/>
      <c r="J281" s="33"/>
      <c r="K281" s="33"/>
      <c r="L281" s="35"/>
      <c r="M281" s="33"/>
      <c r="N281" s="33"/>
      <c r="O281" s="33"/>
      <c r="P281" s="33"/>
      <c r="Q281" s="35"/>
      <c r="R281" s="33"/>
      <c r="S281" s="33"/>
      <c r="T281" s="33"/>
      <c r="U281" s="33"/>
      <c r="V281" s="33"/>
      <c r="W281" s="31" t="str">
        <f aca="false">IF(OR($T281="",$U281="",$V281=""),"",$T281*$U281*$V281)</f>
        <v/>
      </c>
      <c r="X281" s="36" t="str">
        <f aca="false">IF($W281="","",IF($T281=5,"High",IF($W281&gt;=Settings!$C$20,"High",IF(OR($W281&gt;=Settings!$C$21,$T281=4),"Medium","Low"))))</f>
        <v/>
      </c>
      <c r="Y281" s="34"/>
      <c r="Z281" s="37" t="str">
        <f aca="false">IF($O281="","",$O281*Settings!$C$5)</f>
        <v/>
      </c>
      <c r="AA281" s="37" t="n">
        <f aca="false">IF(OR($H281&lt;&gt;"Complaint",$P281&lt;&gt;"Upheld",$T281=""),0,IF($G281="",Settings!$C$6,$G281)*INDEX(Settings!$C$8:$C$12,6-$T281))</f>
        <v>0</v>
      </c>
      <c r="AB281" s="37" t="str">
        <f aca="false">IF($B281="","",IF($Y281="",0,$Y281)+IF($Z281="",0,$Z281)+IF($AA281="",0,$AA281))</f>
        <v/>
      </c>
      <c r="AC281" s="35"/>
      <c r="AD281" s="33"/>
      <c r="AE281" s="36" t="str">
        <f aca="false">IF($B281="","",IF(OR($H281="Nonconformity (process)",$S281="Yes",AND(ISNUMBER($W281),$W281&gt;=Settings!$C$20)),"YES – required","No"))</f>
        <v/>
      </c>
      <c r="AF281" s="33"/>
      <c r="AG281" s="33"/>
      <c r="AH281" s="32"/>
      <c r="AI281" s="33"/>
      <c r="AJ281" s="32"/>
      <c r="AK281" s="31" t="str">
        <f aca="false">IF(OR($B281="",$AJ281=""),"",$AJ281-$B281)</f>
        <v/>
      </c>
      <c r="AL281" s="31" t="str">
        <f aca="false">IF($X281="","",INDEX(Settings!$C$15:$C$17,MATCH($X281,Settings!$B$15:$B$17,0)))</f>
        <v/>
      </c>
      <c r="AM281" s="36" t="str">
        <f aca="true">IF($B281="","",IF($AH281="","No due date",IF($AI281="Closed",IF($AJ281="","Missing close date",IF($AJ281&lt;=$AH281,"On time","Late")),IF(TODAY()&gt;$AH281,"OVERDUE","In progress"))))</f>
        <v/>
      </c>
      <c r="AN281" s="35"/>
    </row>
    <row r="282" customFormat="false" ht="27.75" hidden="false" customHeight="true" outlineLevel="0" collapsed="false">
      <c r="A282" s="31" t="str">
        <f aca="false">IF($B282="","",ROW()-4)</f>
        <v/>
      </c>
      <c r="B282" s="32"/>
      <c r="C282" s="32"/>
      <c r="D282" s="33"/>
      <c r="E282" s="33"/>
      <c r="F282" s="33"/>
      <c r="G282" s="34"/>
      <c r="H282" s="33"/>
      <c r="I282" s="33"/>
      <c r="J282" s="33"/>
      <c r="K282" s="33"/>
      <c r="L282" s="35"/>
      <c r="M282" s="33"/>
      <c r="N282" s="33"/>
      <c r="O282" s="33"/>
      <c r="P282" s="33"/>
      <c r="Q282" s="35"/>
      <c r="R282" s="33"/>
      <c r="S282" s="33"/>
      <c r="T282" s="33"/>
      <c r="U282" s="33"/>
      <c r="V282" s="33"/>
      <c r="W282" s="31" t="str">
        <f aca="false">IF(OR($T282="",$U282="",$V282=""),"",$T282*$U282*$V282)</f>
        <v/>
      </c>
      <c r="X282" s="36" t="str">
        <f aca="false">IF($W282="","",IF($T282=5,"High",IF($W282&gt;=Settings!$C$20,"High",IF(OR($W282&gt;=Settings!$C$21,$T282=4),"Medium","Low"))))</f>
        <v/>
      </c>
      <c r="Y282" s="34"/>
      <c r="Z282" s="37" t="str">
        <f aca="false">IF($O282="","",$O282*Settings!$C$5)</f>
        <v/>
      </c>
      <c r="AA282" s="37" t="n">
        <f aca="false">IF(OR($H282&lt;&gt;"Complaint",$P282&lt;&gt;"Upheld",$T282=""),0,IF($G282="",Settings!$C$6,$G282)*INDEX(Settings!$C$8:$C$12,6-$T282))</f>
        <v>0</v>
      </c>
      <c r="AB282" s="37" t="str">
        <f aca="false">IF($B282="","",IF($Y282="",0,$Y282)+IF($Z282="",0,$Z282)+IF($AA282="",0,$AA282))</f>
        <v/>
      </c>
      <c r="AC282" s="35"/>
      <c r="AD282" s="33"/>
      <c r="AE282" s="36" t="str">
        <f aca="false">IF($B282="","",IF(OR($H282="Nonconformity (process)",$S282="Yes",AND(ISNUMBER($W282),$W282&gt;=Settings!$C$20)),"YES – required","No"))</f>
        <v/>
      </c>
      <c r="AF282" s="33"/>
      <c r="AG282" s="33"/>
      <c r="AH282" s="32"/>
      <c r="AI282" s="33"/>
      <c r="AJ282" s="32"/>
      <c r="AK282" s="31" t="str">
        <f aca="false">IF(OR($B282="",$AJ282=""),"",$AJ282-$B282)</f>
        <v/>
      </c>
      <c r="AL282" s="31" t="str">
        <f aca="false">IF($X282="","",INDEX(Settings!$C$15:$C$17,MATCH($X282,Settings!$B$15:$B$17,0)))</f>
        <v/>
      </c>
      <c r="AM282" s="36" t="str">
        <f aca="true">IF($B282="","",IF($AH282="","No due date",IF($AI282="Closed",IF($AJ282="","Missing close date",IF($AJ282&lt;=$AH282,"On time","Late")),IF(TODAY()&gt;$AH282,"OVERDUE","In progress"))))</f>
        <v/>
      </c>
      <c r="AN282" s="35"/>
    </row>
    <row r="283" customFormat="false" ht="27.75" hidden="false" customHeight="true" outlineLevel="0" collapsed="false">
      <c r="A283" s="31" t="str">
        <f aca="false">IF($B283="","",ROW()-4)</f>
        <v/>
      </c>
      <c r="B283" s="32"/>
      <c r="C283" s="32"/>
      <c r="D283" s="33"/>
      <c r="E283" s="33"/>
      <c r="F283" s="33"/>
      <c r="G283" s="34"/>
      <c r="H283" s="33"/>
      <c r="I283" s="33"/>
      <c r="J283" s="33"/>
      <c r="K283" s="33"/>
      <c r="L283" s="35"/>
      <c r="M283" s="33"/>
      <c r="N283" s="33"/>
      <c r="O283" s="33"/>
      <c r="P283" s="33"/>
      <c r="Q283" s="35"/>
      <c r="R283" s="33"/>
      <c r="S283" s="33"/>
      <c r="T283" s="33"/>
      <c r="U283" s="33"/>
      <c r="V283" s="33"/>
      <c r="W283" s="31" t="str">
        <f aca="false">IF(OR($T283="",$U283="",$V283=""),"",$T283*$U283*$V283)</f>
        <v/>
      </c>
      <c r="X283" s="36" t="str">
        <f aca="false">IF($W283="","",IF($T283=5,"High",IF($W283&gt;=Settings!$C$20,"High",IF(OR($W283&gt;=Settings!$C$21,$T283=4),"Medium","Low"))))</f>
        <v/>
      </c>
      <c r="Y283" s="34"/>
      <c r="Z283" s="37" t="str">
        <f aca="false">IF($O283="","",$O283*Settings!$C$5)</f>
        <v/>
      </c>
      <c r="AA283" s="37" t="n">
        <f aca="false">IF(OR($H283&lt;&gt;"Complaint",$P283&lt;&gt;"Upheld",$T283=""),0,IF($G283="",Settings!$C$6,$G283)*INDEX(Settings!$C$8:$C$12,6-$T283))</f>
        <v>0</v>
      </c>
      <c r="AB283" s="37" t="str">
        <f aca="false">IF($B283="","",IF($Y283="",0,$Y283)+IF($Z283="",0,$Z283)+IF($AA283="",0,$AA283))</f>
        <v/>
      </c>
      <c r="AC283" s="35"/>
      <c r="AD283" s="33"/>
      <c r="AE283" s="36" t="str">
        <f aca="false">IF($B283="","",IF(OR($H283="Nonconformity (process)",$S283="Yes",AND(ISNUMBER($W283),$W283&gt;=Settings!$C$20)),"YES – required","No"))</f>
        <v/>
      </c>
      <c r="AF283" s="33"/>
      <c r="AG283" s="33"/>
      <c r="AH283" s="32"/>
      <c r="AI283" s="33"/>
      <c r="AJ283" s="32"/>
      <c r="AK283" s="31" t="str">
        <f aca="false">IF(OR($B283="",$AJ283=""),"",$AJ283-$B283)</f>
        <v/>
      </c>
      <c r="AL283" s="31" t="str">
        <f aca="false">IF($X283="","",INDEX(Settings!$C$15:$C$17,MATCH($X283,Settings!$B$15:$B$17,0)))</f>
        <v/>
      </c>
      <c r="AM283" s="36" t="str">
        <f aca="true">IF($B283="","",IF($AH283="","No due date",IF($AI283="Closed",IF($AJ283="","Missing close date",IF($AJ283&lt;=$AH283,"On time","Late")),IF(TODAY()&gt;$AH283,"OVERDUE","In progress"))))</f>
        <v/>
      </c>
      <c r="AN283" s="35"/>
    </row>
    <row r="284" customFormat="false" ht="27.75" hidden="false" customHeight="true" outlineLevel="0" collapsed="false">
      <c r="A284" s="31" t="str">
        <f aca="false">IF($B284="","",ROW()-4)</f>
        <v/>
      </c>
      <c r="B284" s="32"/>
      <c r="C284" s="32"/>
      <c r="D284" s="33"/>
      <c r="E284" s="33"/>
      <c r="F284" s="33"/>
      <c r="G284" s="34"/>
      <c r="H284" s="33"/>
      <c r="I284" s="33"/>
      <c r="J284" s="33"/>
      <c r="K284" s="33"/>
      <c r="L284" s="35"/>
      <c r="M284" s="33"/>
      <c r="N284" s="33"/>
      <c r="O284" s="33"/>
      <c r="P284" s="33"/>
      <c r="Q284" s="35"/>
      <c r="R284" s="33"/>
      <c r="S284" s="33"/>
      <c r="T284" s="33"/>
      <c r="U284" s="33"/>
      <c r="V284" s="33"/>
      <c r="W284" s="31" t="str">
        <f aca="false">IF(OR($T284="",$U284="",$V284=""),"",$T284*$U284*$V284)</f>
        <v/>
      </c>
      <c r="X284" s="36" t="str">
        <f aca="false">IF($W284="","",IF($T284=5,"High",IF($W284&gt;=Settings!$C$20,"High",IF(OR($W284&gt;=Settings!$C$21,$T284=4),"Medium","Low"))))</f>
        <v/>
      </c>
      <c r="Y284" s="34"/>
      <c r="Z284" s="37" t="str">
        <f aca="false">IF($O284="","",$O284*Settings!$C$5)</f>
        <v/>
      </c>
      <c r="AA284" s="37" t="n">
        <f aca="false">IF(OR($H284&lt;&gt;"Complaint",$P284&lt;&gt;"Upheld",$T284=""),0,IF($G284="",Settings!$C$6,$G284)*INDEX(Settings!$C$8:$C$12,6-$T284))</f>
        <v>0</v>
      </c>
      <c r="AB284" s="37" t="str">
        <f aca="false">IF($B284="","",IF($Y284="",0,$Y284)+IF($Z284="",0,$Z284)+IF($AA284="",0,$AA284))</f>
        <v/>
      </c>
      <c r="AC284" s="35"/>
      <c r="AD284" s="33"/>
      <c r="AE284" s="36" t="str">
        <f aca="false">IF($B284="","",IF(OR($H284="Nonconformity (process)",$S284="Yes",AND(ISNUMBER($W284),$W284&gt;=Settings!$C$20)),"YES – required","No"))</f>
        <v/>
      </c>
      <c r="AF284" s="33"/>
      <c r="AG284" s="33"/>
      <c r="AH284" s="32"/>
      <c r="AI284" s="33"/>
      <c r="AJ284" s="32"/>
      <c r="AK284" s="31" t="str">
        <f aca="false">IF(OR($B284="",$AJ284=""),"",$AJ284-$B284)</f>
        <v/>
      </c>
      <c r="AL284" s="31" t="str">
        <f aca="false">IF($X284="","",INDEX(Settings!$C$15:$C$17,MATCH($X284,Settings!$B$15:$B$17,0)))</f>
        <v/>
      </c>
      <c r="AM284" s="36" t="str">
        <f aca="true">IF($B284="","",IF($AH284="","No due date",IF($AI284="Closed",IF($AJ284="","Missing close date",IF($AJ284&lt;=$AH284,"On time","Late")),IF(TODAY()&gt;$AH284,"OVERDUE","In progress"))))</f>
        <v/>
      </c>
      <c r="AN284" s="35"/>
    </row>
    <row r="285" customFormat="false" ht="27.75" hidden="false" customHeight="true" outlineLevel="0" collapsed="false">
      <c r="A285" s="31" t="str">
        <f aca="false">IF($B285="","",ROW()-4)</f>
        <v/>
      </c>
      <c r="B285" s="32"/>
      <c r="C285" s="32"/>
      <c r="D285" s="33"/>
      <c r="E285" s="33"/>
      <c r="F285" s="33"/>
      <c r="G285" s="34"/>
      <c r="H285" s="33"/>
      <c r="I285" s="33"/>
      <c r="J285" s="33"/>
      <c r="K285" s="33"/>
      <c r="L285" s="35"/>
      <c r="M285" s="33"/>
      <c r="N285" s="33"/>
      <c r="O285" s="33"/>
      <c r="P285" s="33"/>
      <c r="Q285" s="35"/>
      <c r="R285" s="33"/>
      <c r="S285" s="33"/>
      <c r="T285" s="33"/>
      <c r="U285" s="33"/>
      <c r="V285" s="33"/>
      <c r="W285" s="31" t="str">
        <f aca="false">IF(OR($T285="",$U285="",$V285=""),"",$T285*$U285*$V285)</f>
        <v/>
      </c>
      <c r="X285" s="36" t="str">
        <f aca="false">IF($W285="","",IF($T285=5,"High",IF($W285&gt;=Settings!$C$20,"High",IF(OR($W285&gt;=Settings!$C$21,$T285=4),"Medium","Low"))))</f>
        <v/>
      </c>
      <c r="Y285" s="34"/>
      <c r="Z285" s="37" t="str">
        <f aca="false">IF($O285="","",$O285*Settings!$C$5)</f>
        <v/>
      </c>
      <c r="AA285" s="37" t="n">
        <f aca="false">IF(OR($H285&lt;&gt;"Complaint",$P285&lt;&gt;"Upheld",$T285=""),0,IF($G285="",Settings!$C$6,$G285)*INDEX(Settings!$C$8:$C$12,6-$T285))</f>
        <v>0</v>
      </c>
      <c r="AB285" s="37" t="str">
        <f aca="false">IF($B285="","",IF($Y285="",0,$Y285)+IF($Z285="",0,$Z285)+IF($AA285="",0,$AA285))</f>
        <v/>
      </c>
      <c r="AC285" s="35"/>
      <c r="AD285" s="33"/>
      <c r="AE285" s="36" t="str">
        <f aca="false">IF($B285="","",IF(OR($H285="Nonconformity (process)",$S285="Yes",AND(ISNUMBER($W285),$W285&gt;=Settings!$C$20)),"YES – required","No"))</f>
        <v/>
      </c>
      <c r="AF285" s="33"/>
      <c r="AG285" s="33"/>
      <c r="AH285" s="32"/>
      <c r="AI285" s="33"/>
      <c r="AJ285" s="32"/>
      <c r="AK285" s="31" t="str">
        <f aca="false">IF(OR($B285="",$AJ285=""),"",$AJ285-$B285)</f>
        <v/>
      </c>
      <c r="AL285" s="31" t="str">
        <f aca="false">IF($X285="","",INDEX(Settings!$C$15:$C$17,MATCH($X285,Settings!$B$15:$B$17,0)))</f>
        <v/>
      </c>
      <c r="AM285" s="36" t="str">
        <f aca="true">IF($B285="","",IF($AH285="","No due date",IF($AI285="Closed",IF($AJ285="","Missing close date",IF($AJ285&lt;=$AH285,"On time","Late")),IF(TODAY()&gt;$AH285,"OVERDUE","In progress"))))</f>
        <v/>
      </c>
      <c r="AN285" s="35"/>
    </row>
    <row r="286" customFormat="false" ht="27.75" hidden="false" customHeight="true" outlineLevel="0" collapsed="false">
      <c r="A286" s="31" t="str">
        <f aca="false">IF($B286="","",ROW()-4)</f>
        <v/>
      </c>
      <c r="B286" s="32"/>
      <c r="C286" s="32"/>
      <c r="D286" s="33"/>
      <c r="E286" s="33"/>
      <c r="F286" s="33"/>
      <c r="G286" s="34"/>
      <c r="H286" s="33"/>
      <c r="I286" s="33"/>
      <c r="J286" s="33"/>
      <c r="K286" s="33"/>
      <c r="L286" s="35"/>
      <c r="M286" s="33"/>
      <c r="N286" s="33"/>
      <c r="O286" s="33"/>
      <c r="P286" s="33"/>
      <c r="Q286" s="35"/>
      <c r="R286" s="33"/>
      <c r="S286" s="33"/>
      <c r="T286" s="33"/>
      <c r="U286" s="33"/>
      <c r="V286" s="33"/>
      <c r="W286" s="31" t="str">
        <f aca="false">IF(OR($T286="",$U286="",$V286=""),"",$T286*$U286*$V286)</f>
        <v/>
      </c>
      <c r="X286" s="36" t="str">
        <f aca="false">IF($W286="","",IF($T286=5,"High",IF($W286&gt;=Settings!$C$20,"High",IF(OR($W286&gt;=Settings!$C$21,$T286=4),"Medium","Low"))))</f>
        <v/>
      </c>
      <c r="Y286" s="34"/>
      <c r="Z286" s="37" t="str">
        <f aca="false">IF($O286="","",$O286*Settings!$C$5)</f>
        <v/>
      </c>
      <c r="AA286" s="37" t="n">
        <f aca="false">IF(OR($H286&lt;&gt;"Complaint",$P286&lt;&gt;"Upheld",$T286=""),0,IF($G286="",Settings!$C$6,$G286)*INDEX(Settings!$C$8:$C$12,6-$T286))</f>
        <v>0</v>
      </c>
      <c r="AB286" s="37" t="str">
        <f aca="false">IF($B286="","",IF($Y286="",0,$Y286)+IF($Z286="",0,$Z286)+IF($AA286="",0,$AA286))</f>
        <v/>
      </c>
      <c r="AC286" s="35"/>
      <c r="AD286" s="33"/>
      <c r="AE286" s="36" t="str">
        <f aca="false">IF($B286="","",IF(OR($H286="Nonconformity (process)",$S286="Yes",AND(ISNUMBER($W286),$W286&gt;=Settings!$C$20)),"YES – required","No"))</f>
        <v/>
      </c>
      <c r="AF286" s="33"/>
      <c r="AG286" s="33"/>
      <c r="AH286" s="32"/>
      <c r="AI286" s="33"/>
      <c r="AJ286" s="32"/>
      <c r="AK286" s="31" t="str">
        <f aca="false">IF(OR($B286="",$AJ286=""),"",$AJ286-$B286)</f>
        <v/>
      </c>
      <c r="AL286" s="31" t="str">
        <f aca="false">IF($X286="","",INDEX(Settings!$C$15:$C$17,MATCH($X286,Settings!$B$15:$B$17,0)))</f>
        <v/>
      </c>
      <c r="AM286" s="36" t="str">
        <f aca="true">IF($B286="","",IF($AH286="","No due date",IF($AI286="Closed",IF($AJ286="","Missing close date",IF($AJ286&lt;=$AH286,"On time","Late")),IF(TODAY()&gt;$AH286,"OVERDUE","In progress"))))</f>
        <v/>
      </c>
      <c r="AN286" s="35"/>
    </row>
    <row r="287" customFormat="false" ht="27.75" hidden="false" customHeight="true" outlineLevel="0" collapsed="false">
      <c r="A287" s="31" t="str">
        <f aca="false">IF($B287="","",ROW()-4)</f>
        <v/>
      </c>
      <c r="B287" s="32"/>
      <c r="C287" s="32"/>
      <c r="D287" s="33"/>
      <c r="E287" s="33"/>
      <c r="F287" s="33"/>
      <c r="G287" s="34"/>
      <c r="H287" s="33"/>
      <c r="I287" s="33"/>
      <c r="J287" s="33"/>
      <c r="K287" s="33"/>
      <c r="L287" s="35"/>
      <c r="M287" s="33"/>
      <c r="N287" s="33"/>
      <c r="O287" s="33"/>
      <c r="P287" s="33"/>
      <c r="Q287" s="35"/>
      <c r="R287" s="33"/>
      <c r="S287" s="33"/>
      <c r="T287" s="33"/>
      <c r="U287" s="33"/>
      <c r="V287" s="33"/>
      <c r="W287" s="31" t="str">
        <f aca="false">IF(OR($T287="",$U287="",$V287=""),"",$T287*$U287*$V287)</f>
        <v/>
      </c>
      <c r="X287" s="36" t="str">
        <f aca="false">IF($W287="","",IF($T287=5,"High",IF($W287&gt;=Settings!$C$20,"High",IF(OR($W287&gt;=Settings!$C$21,$T287=4),"Medium","Low"))))</f>
        <v/>
      </c>
      <c r="Y287" s="34"/>
      <c r="Z287" s="37" t="str">
        <f aca="false">IF($O287="","",$O287*Settings!$C$5)</f>
        <v/>
      </c>
      <c r="AA287" s="37" t="n">
        <f aca="false">IF(OR($H287&lt;&gt;"Complaint",$P287&lt;&gt;"Upheld",$T287=""),0,IF($G287="",Settings!$C$6,$G287)*INDEX(Settings!$C$8:$C$12,6-$T287))</f>
        <v>0</v>
      </c>
      <c r="AB287" s="37" t="str">
        <f aca="false">IF($B287="","",IF($Y287="",0,$Y287)+IF($Z287="",0,$Z287)+IF($AA287="",0,$AA287))</f>
        <v/>
      </c>
      <c r="AC287" s="35"/>
      <c r="AD287" s="33"/>
      <c r="AE287" s="36" t="str">
        <f aca="false">IF($B287="","",IF(OR($H287="Nonconformity (process)",$S287="Yes",AND(ISNUMBER($W287),$W287&gt;=Settings!$C$20)),"YES – required","No"))</f>
        <v/>
      </c>
      <c r="AF287" s="33"/>
      <c r="AG287" s="33"/>
      <c r="AH287" s="32"/>
      <c r="AI287" s="33"/>
      <c r="AJ287" s="32"/>
      <c r="AK287" s="31" t="str">
        <f aca="false">IF(OR($B287="",$AJ287=""),"",$AJ287-$B287)</f>
        <v/>
      </c>
      <c r="AL287" s="31" t="str">
        <f aca="false">IF($X287="","",INDEX(Settings!$C$15:$C$17,MATCH($X287,Settings!$B$15:$B$17,0)))</f>
        <v/>
      </c>
      <c r="AM287" s="36" t="str">
        <f aca="true">IF($B287="","",IF($AH287="","No due date",IF($AI287="Closed",IF($AJ287="","Missing close date",IF($AJ287&lt;=$AH287,"On time","Late")),IF(TODAY()&gt;$AH287,"OVERDUE","In progress"))))</f>
        <v/>
      </c>
      <c r="AN287" s="35"/>
    </row>
    <row r="288" customFormat="false" ht="27.75" hidden="false" customHeight="true" outlineLevel="0" collapsed="false">
      <c r="A288" s="31" t="str">
        <f aca="false">IF($B288="","",ROW()-4)</f>
        <v/>
      </c>
      <c r="B288" s="32"/>
      <c r="C288" s="32"/>
      <c r="D288" s="33"/>
      <c r="E288" s="33"/>
      <c r="F288" s="33"/>
      <c r="G288" s="34"/>
      <c r="H288" s="33"/>
      <c r="I288" s="33"/>
      <c r="J288" s="33"/>
      <c r="K288" s="33"/>
      <c r="L288" s="35"/>
      <c r="M288" s="33"/>
      <c r="N288" s="33"/>
      <c r="O288" s="33"/>
      <c r="P288" s="33"/>
      <c r="Q288" s="35"/>
      <c r="R288" s="33"/>
      <c r="S288" s="33"/>
      <c r="T288" s="33"/>
      <c r="U288" s="33"/>
      <c r="V288" s="33"/>
      <c r="W288" s="31" t="str">
        <f aca="false">IF(OR($T288="",$U288="",$V288=""),"",$T288*$U288*$V288)</f>
        <v/>
      </c>
      <c r="X288" s="36" t="str">
        <f aca="false">IF($W288="","",IF($T288=5,"High",IF($W288&gt;=Settings!$C$20,"High",IF(OR($W288&gt;=Settings!$C$21,$T288=4),"Medium","Low"))))</f>
        <v/>
      </c>
      <c r="Y288" s="34"/>
      <c r="Z288" s="37" t="str">
        <f aca="false">IF($O288="","",$O288*Settings!$C$5)</f>
        <v/>
      </c>
      <c r="AA288" s="37" t="n">
        <f aca="false">IF(OR($H288&lt;&gt;"Complaint",$P288&lt;&gt;"Upheld",$T288=""),0,IF($G288="",Settings!$C$6,$G288)*INDEX(Settings!$C$8:$C$12,6-$T288))</f>
        <v>0</v>
      </c>
      <c r="AB288" s="37" t="str">
        <f aca="false">IF($B288="","",IF($Y288="",0,$Y288)+IF($Z288="",0,$Z288)+IF($AA288="",0,$AA288))</f>
        <v/>
      </c>
      <c r="AC288" s="35"/>
      <c r="AD288" s="33"/>
      <c r="AE288" s="36" t="str">
        <f aca="false">IF($B288="","",IF(OR($H288="Nonconformity (process)",$S288="Yes",AND(ISNUMBER($W288),$W288&gt;=Settings!$C$20)),"YES – required","No"))</f>
        <v/>
      </c>
      <c r="AF288" s="33"/>
      <c r="AG288" s="33"/>
      <c r="AH288" s="32"/>
      <c r="AI288" s="33"/>
      <c r="AJ288" s="32"/>
      <c r="AK288" s="31" t="str">
        <f aca="false">IF(OR($B288="",$AJ288=""),"",$AJ288-$B288)</f>
        <v/>
      </c>
      <c r="AL288" s="31" t="str">
        <f aca="false">IF($X288="","",INDEX(Settings!$C$15:$C$17,MATCH($X288,Settings!$B$15:$B$17,0)))</f>
        <v/>
      </c>
      <c r="AM288" s="36" t="str">
        <f aca="true">IF($B288="","",IF($AH288="","No due date",IF($AI288="Closed",IF($AJ288="","Missing close date",IF($AJ288&lt;=$AH288,"On time","Late")),IF(TODAY()&gt;$AH288,"OVERDUE","In progress"))))</f>
        <v/>
      </c>
      <c r="AN288" s="35"/>
    </row>
    <row r="289" customFormat="false" ht="27.75" hidden="false" customHeight="true" outlineLevel="0" collapsed="false">
      <c r="A289" s="31" t="str">
        <f aca="false">IF($B289="","",ROW()-4)</f>
        <v/>
      </c>
      <c r="B289" s="32"/>
      <c r="C289" s="32"/>
      <c r="D289" s="33"/>
      <c r="E289" s="33"/>
      <c r="F289" s="33"/>
      <c r="G289" s="34"/>
      <c r="H289" s="33"/>
      <c r="I289" s="33"/>
      <c r="J289" s="33"/>
      <c r="K289" s="33"/>
      <c r="L289" s="35"/>
      <c r="M289" s="33"/>
      <c r="N289" s="33"/>
      <c r="O289" s="33"/>
      <c r="P289" s="33"/>
      <c r="Q289" s="35"/>
      <c r="R289" s="33"/>
      <c r="S289" s="33"/>
      <c r="T289" s="33"/>
      <c r="U289" s="33"/>
      <c r="V289" s="33"/>
      <c r="W289" s="31" t="str">
        <f aca="false">IF(OR($T289="",$U289="",$V289=""),"",$T289*$U289*$V289)</f>
        <v/>
      </c>
      <c r="X289" s="36" t="str">
        <f aca="false">IF($W289="","",IF($T289=5,"High",IF($W289&gt;=Settings!$C$20,"High",IF(OR($W289&gt;=Settings!$C$21,$T289=4),"Medium","Low"))))</f>
        <v/>
      </c>
      <c r="Y289" s="34"/>
      <c r="Z289" s="37" t="str">
        <f aca="false">IF($O289="","",$O289*Settings!$C$5)</f>
        <v/>
      </c>
      <c r="AA289" s="37" t="n">
        <f aca="false">IF(OR($H289&lt;&gt;"Complaint",$P289&lt;&gt;"Upheld",$T289=""),0,IF($G289="",Settings!$C$6,$G289)*INDEX(Settings!$C$8:$C$12,6-$T289))</f>
        <v>0</v>
      </c>
      <c r="AB289" s="37" t="str">
        <f aca="false">IF($B289="","",IF($Y289="",0,$Y289)+IF($Z289="",0,$Z289)+IF($AA289="",0,$AA289))</f>
        <v/>
      </c>
      <c r="AC289" s="35"/>
      <c r="AD289" s="33"/>
      <c r="AE289" s="36" t="str">
        <f aca="false">IF($B289="","",IF(OR($H289="Nonconformity (process)",$S289="Yes",AND(ISNUMBER($W289),$W289&gt;=Settings!$C$20)),"YES – required","No"))</f>
        <v/>
      </c>
      <c r="AF289" s="33"/>
      <c r="AG289" s="33"/>
      <c r="AH289" s="32"/>
      <c r="AI289" s="33"/>
      <c r="AJ289" s="32"/>
      <c r="AK289" s="31" t="str">
        <f aca="false">IF(OR($B289="",$AJ289=""),"",$AJ289-$B289)</f>
        <v/>
      </c>
      <c r="AL289" s="31" t="str">
        <f aca="false">IF($X289="","",INDEX(Settings!$C$15:$C$17,MATCH($X289,Settings!$B$15:$B$17,0)))</f>
        <v/>
      </c>
      <c r="AM289" s="36" t="str">
        <f aca="true">IF($B289="","",IF($AH289="","No due date",IF($AI289="Closed",IF($AJ289="","Missing close date",IF($AJ289&lt;=$AH289,"On time","Late")),IF(TODAY()&gt;$AH289,"OVERDUE","In progress"))))</f>
        <v/>
      </c>
      <c r="AN289" s="35"/>
    </row>
    <row r="290" customFormat="false" ht="27.75" hidden="false" customHeight="true" outlineLevel="0" collapsed="false">
      <c r="A290" s="31" t="str">
        <f aca="false">IF($B290="","",ROW()-4)</f>
        <v/>
      </c>
      <c r="B290" s="32"/>
      <c r="C290" s="32"/>
      <c r="D290" s="33"/>
      <c r="E290" s="33"/>
      <c r="F290" s="33"/>
      <c r="G290" s="34"/>
      <c r="H290" s="33"/>
      <c r="I290" s="33"/>
      <c r="J290" s="33"/>
      <c r="K290" s="33"/>
      <c r="L290" s="35"/>
      <c r="M290" s="33"/>
      <c r="N290" s="33"/>
      <c r="O290" s="33"/>
      <c r="P290" s="33"/>
      <c r="Q290" s="35"/>
      <c r="R290" s="33"/>
      <c r="S290" s="33"/>
      <c r="T290" s="33"/>
      <c r="U290" s="33"/>
      <c r="V290" s="33"/>
      <c r="W290" s="31" t="str">
        <f aca="false">IF(OR($T290="",$U290="",$V290=""),"",$T290*$U290*$V290)</f>
        <v/>
      </c>
      <c r="X290" s="36" t="str">
        <f aca="false">IF($W290="","",IF($T290=5,"High",IF($W290&gt;=Settings!$C$20,"High",IF(OR($W290&gt;=Settings!$C$21,$T290=4),"Medium","Low"))))</f>
        <v/>
      </c>
      <c r="Y290" s="34"/>
      <c r="Z290" s="37" t="str">
        <f aca="false">IF($O290="","",$O290*Settings!$C$5)</f>
        <v/>
      </c>
      <c r="AA290" s="37" t="n">
        <f aca="false">IF(OR($H290&lt;&gt;"Complaint",$P290&lt;&gt;"Upheld",$T290=""),0,IF($G290="",Settings!$C$6,$G290)*INDEX(Settings!$C$8:$C$12,6-$T290))</f>
        <v>0</v>
      </c>
      <c r="AB290" s="37" t="str">
        <f aca="false">IF($B290="","",IF($Y290="",0,$Y290)+IF($Z290="",0,$Z290)+IF($AA290="",0,$AA290))</f>
        <v/>
      </c>
      <c r="AC290" s="35"/>
      <c r="AD290" s="33"/>
      <c r="AE290" s="36" t="str">
        <f aca="false">IF($B290="","",IF(OR($H290="Nonconformity (process)",$S290="Yes",AND(ISNUMBER($W290),$W290&gt;=Settings!$C$20)),"YES – required","No"))</f>
        <v/>
      </c>
      <c r="AF290" s="33"/>
      <c r="AG290" s="33"/>
      <c r="AH290" s="32"/>
      <c r="AI290" s="33"/>
      <c r="AJ290" s="32"/>
      <c r="AK290" s="31" t="str">
        <f aca="false">IF(OR($B290="",$AJ290=""),"",$AJ290-$B290)</f>
        <v/>
      </c>
      <c r="AL290" s="31" t="str">
        <f aca="false">IF($X290="","",INDEX(Settings!$C$15:$C$17,MATCH($X290,Settings!$B$15:$B$17,0)))</f>
        <v/>
      </c>
      <c r="AM290" s="36" t="str">
        <f aca="true">IF($B290="","",IF($AH290="","No due date",IF($AI290="Closed",IF($AJ290="","Missing close date",IF($AJ290&lt;=$AH290,"On time","Late")),IF(TODAY()&gt;$AH290,"OVERDUE","In progress"))))</f>
        <v/>
      </c>
      <c r="AN290" s="35"/>
    </row>
    <row r="291" customFormat="false" ht="27.75" hidden="false" customHeight="true" outlineLevel="0" collapsed="false">
      <c r="A291" s="31" t="str">
        <f aca="false">IF($B291="","",ROW()-4)</f>
        <v/>
      </c>
      <c r="B291" s="32"/>
      <c r="C291" s="32"/>
      <c r="D291" s="33"/>
      <c r="E291" s="33"/>
      <c r="F291" s="33"/>
      <c r="G291" s="34"/>
      <c r="H291" s="33"/>
      <c r="I291" s="33"/>
      <c r="J291" s="33"/>
      <c r="K291" s="33"/>
      <c r="L291" s="35"/>
      <c r="M291" s="33"/>
      <c r="N291" s="33"/>
      <c r="O291" s="33"/>
      <c r="P291" s="33"/>
      <c r="Q291" s="35"/>
      <c r="R291" s="33"/>
      <c r="S291" s="33"/>
      <c r="T291" s="33"/>
      <c r="U291" s="33"/>
      <c r="V291" s="33"/>
      <c r="W291" s="31" t="str">
        <f aca="false">IF(OR($T291="",$U291="",$V291=""),"",$T291*$U291*$V291)</f>
        <v/>
      </c>
      <c r="X291" s="36" t="str">
        <f aca="false">IF($W291="","",IF($T291=5,"High",IF($W291&gt;=Settings!$C$20,"High",IF(OR($W291&gt;=Settings!$C$21,$T291=4),"Medium","Low"))))</f>
        <v/>
      </c>
      <c r="Y291" s="34"/>
      <c r="Z291" s="37" t="str">
        <f aca="false">IF($O291="","",$O291*Settings!$C$5)</f>
        <v/>
      </c>
      <c r="AA291" s="37" t="n">
        <f aca="false">IF(OR($H291&lt;&gt;"Complaint",$P291&lt;&gt;"Upheld",$T291=""),0,IF($G291="",Settings!$C$6,$G291)*INDEX(Settings!$C$8:$C$12,6-$T291))</f>
        <v>0</v>
      </c>
      <c r="AB291" s="37" t="str">
        <f aca="false">IF($B291="","",IF($Y291="",0,$Y291)+IF($Z291="",0,$Z291)+IF($AA291="",0,$AA291))</f>
        <v/>
      </c>
      <c r="AC291" s="35"/>
      <c r="AD291" s="33"/>
      <c r="AE291" s="36" t="str">
        <f aca="false">IF($B291="","",IF(OR($H291="Nonconformity (process)",$S291="Yes",AND(ISNUMBER($W291),$W291&gt;=Settings!$C$20)),"YES – required","No"))</f>
        <v/>
      </c>
      <c r="AF291" s="33"/>
      <c r="AG291" s="33"/>
      <c r="AH291" s="32"/>
      <c r="AI291" s="33"/>
      <c r="AJ291" s="32"/>
      <c r="AK291" s="31" t="str">
        <f aca="false">IF(OR($B291="",$AJ291=""),"",$AJ291-$B291)</f>
        <v/>
      </c>
      <c r="AL291" s="31" t="str">
        <f aca="false">IF($X291="","",INDEX(Settings!$C$15:$C$17,MATCH($X291,Settings!$B$15:$B$17,0)))</f>
        <v/>
      </c>
      <c r="AM291" s="36" t="str">
        <f aca="true">IF($B291="","",IF($AH291="","No due date",IF($AI291="Closed",IF($AJ291="","Missing close date",IF($AJ291&lt;=$AH291,"On time","Late")),IF(TODAY()&gt;$AH291,"OVERDUE","In progress"))))</f>
        <v/>
      </c>
      <c r="AN291" s="35"/>
    </row>
    <row r="292" customFormat="false" ht="27.75" hidden="false" customHeight="true" outlineLevel="0" collapsed="false">
      <c r="A292" s="31" t="str">
        <f aca="false">IF($B292="","",ROW()-4)</f>
        <v/>
      </c>
      <c r="B292" s="32"/>
      <c r="C292" s="32"/>
      <c r="D292" s="33"/>
      <c r="E292" s="33"/>
      <c r="F292" s="33"/>
      <c r="G292" s="34"/>
      <c r="H292" s="33"/>
      <c r="I292" s="33"/>
      <c r="J292" s="33"/>
      <c r="K292" s="33"/>
      <c r="L292" s="35"/>
      <c r="M292" s="33"/>
      <c r="N292" s="33"/>
      <c r="O292" s="33"/>
      <c r="P292" s="33"/>
      <c r="Q292" s="35"/>
      <c r="R292" s="33"/>
      <c r="S292" s="33"/>
      <c r="T292" s="33"/>
      <c r="U292" s="33"/>
      <c r="V292" s="33"/>
      <c r="W292" s="31" t="str">
        <f aca="false">IF(OR($T292="",$U292="",$V292=""),"",$T292*$U292*$V292)</f>
        <v/>
      </c>
      <c r="X292" s="36" t="str">
        <f aca="false">IF($W292="","",IF($T292=5,"High",IF($W292&gt;=Settings!$C$20,"High",IF(OR($W292&gt;=Settings!$C$21,$T292=4),"Medium","Low"))))</f>
        <v/>
      </c>
      <c r="Y292" s="34"/>
      <c r="Z292" s="37" t="str">
        <f aca="false">IF($O292="","",$O292*Settings!$C$5)</f>
        <v/>
      </c>
      <c r="AA292" s="37" t="n">
        <f aca="false">IF(OR($H292&lt;&gt;"Complaint",$P292&lt;&gt;"Upheld",$T292=""),0,IF($G292="",Settings!$C$6,$G292)*INDEX(Settings!$C$8:$C$12,6-$T292))</f>
        <v>0</v>
      </c>
      <c r="AB292" s="37" t="str">
        <f aca="false">IF($B292="","",IF($Y292="",0,$Y292)+IF($Z292="",0,$Z292)+IF($AA292="",0,$AA292))</f>
        <v/>
      </c>
      <c r="AC292" s="35"/>
      <c r="AD292" s="33"/>
      <c r="AE292" s="36" t="str">
        <f aca="false">IF($B292="","",IF(OR($H292="Nonconformity (process)",$S292="Yes",AND(ISNUMBER($W292),$W292&gt;=Settings!$C$20)),"YES – required","No"))</f>
        <v/>
      </c>
      <c r="AF292" s="33"/>
      <c r="AG292" s="33"/>
      <c r="AH292" s="32"/>
      <c r="AI292" s="33"/>
      <c r="AJ292" s="32"/>
      <c r="AK292" s="31" t="str">
        <f aca="false">IF(OR($B292="",$AJ292=""),"",$AJ292-$B292)</f>
        <v/>
      </c>
      <c r="AL292" s="31" t="str">
        <f aca="false">IF($X292="","",INDEX(Settings!$C$15:$C$17,MATCH($X292,Settings!$B$15:$B$17,0)))</f>
        <v/>
      </c>
      <c r="AM292" s="36" t="str">
        <f aca="true">IF($B292="","",IF($AH292="","No due date",IF($AI292="Closed",IF($AJ292="","Missing close date",IF($AJ292&lt;=$AH292,"On time","Late")),IF(TODAY()&gt;$AH292,"OVERDUE","In progress"))))</f>
        <v/>
      </c>
      <c r="AN292" s="35"/>
    </row>
    <row r="293" customFormat="false" ht="27.75" hidden="false" customHeight="true" outlineLevel="0" collapsed="false">
      <c r="A293" s="31" t="str">
        <f aca="false">IF($B293="","",ROW()-4)</f>
        <v/>
      </c>
      <c r="B293" s="32"/>
      <c r="C293" s="32"/>
      <c r="D293" s="33"/>
      <c r="E293" s="33"/>
      <c r="F293" s="33"/>
      <c r="G293" s="34"/>
      <c r="H293" s="33"/>
      <c r="I293" s="33"/>
      <c r="J293" s="33"/>
      <c r="K293" s="33"/>
      <c r="L293" s="35"/>
      <c r="M293" s="33"/>
      <c r="N293" s="33"/>
      <c r="O293" s="33"/>
      <c r="P293" s="33"/>
      <c r="Q293" s="35"/>
      <c r="R293" s="33"/>
      <c r="S293" s="33"/>
      <c r="T293" s="33"/>
      <c r="U293" s="33"/>
      <c r="V293" s="33"/>
      <c r="W293" s="31" t="str">
        <f aca="false">IF(OR($T293="",$U293="",$V293=""),"",$T293*$U293*$V293)</f>
        <v/>
      </c>
      <c r="X293" s="36" t="str">
        <f aca="false">IF($W293="","",IF($T293=5,"High",IF($W293&gt;=Settings!$C$20,"High",IF(OR($W293&gt;=Settings!$C$21,$T293=4),"Medium","Low"))))</f>
        <v/>
      </c>
      <c r="Y293" s="34"/>
      <c r="Z293" s="37" t="str">
        <f aca="false">IF($O293="","",$O293*Settings!$C$5)</f>
        <v/>
      </c>
      <c r="AA293" s="37" t="n">
        <f aca="false">IF(OR($H293&lt;&gt;"Complaint",$P293&lt;&gt;"Upheld",$T293=""),0,IF($G293="",Settings!$C$6,$G293)*INDEX(Settings!$C$8:$C$12,6-$T293))</f>
        <v>0</v>
      </c>
      <c r="AB293" s="37" t="str">
        <f aca="false">IF($B293="","",IF($Y293="",0,$Y293)+IF($Z293="",0,$Z293)+IF($AA293="",0,$AA293))</f>
        <v/>
      </c>
      <c r="AC293" s="35"/>
      <c r="AD293" s="33"/>
      <c r="AE293" s="36" t="str">
        <f aca="false">IF($B293="","",IF(OR($H293="Nonconformity (process)",$S293="Yes",AND(ISNUMBER($W293),$W293&gt;=Settings!$C$20)),"YES – required","No"))</f>
        <v/>
      </c>
      <c r="AF293" s="33"/>
      <c r="AG293" s="33"/>
      <c r="AH293" s="32"/>
      <c r="AI293" s="33"/>
      <c r="AJ293" s="32"/>
      <c r="AK293" s="31" t="str">
        <f aca="false">IF(OR($B293="",$AJ293=""),"",$AJ293-$B293)</f>
        <v/>
      </c>
      <c r="AL293" s="31" t="str">
        <f aca="false">IF($X293="","",INDEX(Settings!$C$15:$C$17,MATCH($X293,Settings!$B$15:$B$17,0)))</f>
        <v/>
      </c>
      <c r="AM293" s="36" t="str">
        <f aca="true">IF($B293="","",IF($AH293="","No due date",IF($AI293="Closed",IF($AJ293="","Missing close date",IF($AJ293&lt;=$AH293,"On time","Late")),IF(TODAY()&gt;$AH293,"OVERDUE","In progress"))))</f>
        <v/>
      </c>
      <c r="AN293" s="35"/>
    </row>
    <row r="294" customFormat="false" ht="27.75" hidden="false" customHeight="true" outlineLevel="0" collapsed="false">
      <c r="A294" s="31" t="str">
        <f aca="false">IF($B294="","",ROW()-4)</f>
        <v/>
      </c>
      <c r="B294" s="32"/>
      <c r="C294" s="32"/>
      <c r="D294" s="33"/>
      <c r="E294" s="33"/>
      <c r="F294" s="33"/>
      <c r="G294" s="34"/>
      <c r="H294" s="33"/>
      <c r="I294" s="33"/>
      <c r="J294" s="33"/>
      <c r="K294" s="33"/>
      <c r="L294" s="35"/>
      <c r="M294" s="33"/>
      <c r="N294" s="33"/>
      <c r="O294" s="33"/>
      <c r="P294" s="33"/>
      <c r="Q294" s="35"/>
      <c r="R294" s="33"/>
      <c r="S294" s="33"/>
      <c r="T294" s="33"/>
      <c r="U294" s="33"/>
      <c r="V294" s="33"/>
      <c r="W294" s="31" t="str">
        <f aca="false">IF(OR($T294="",$U294="",$V294=""),"",$T294*$U294*$V294)</f>
        <v/>
      </c>
      <c r="X294" s="36" t="str">
        <f aca="false">IF($W294="","",IF($T294=5,"High",IF($W294&gt;=Settings!$C$20,"High",IF(OR($W294&gt;=Settings!$C$21,$T294=4),"Medium","Low"))))</f>
        <v/>
      </c>
      <c r="Y294" s="34"/>
      <c r="Z294" s="37" t="str">
        <f aca="false">IF($O294="","",$O294*Settings!$C$5)</f>
        <v/>
      </c>
      <c r="AA294" s="37" t="n">
        <f aca="false">IF(OR($H294&lt;&gt;"Complaint",$P294&lt;&gt;"Upheld",$T294=""),0,IF($G294="",Settings!$C$6,$G294)*INDEX(Settings!$C$8:$C$12,6-$T294))</f>
        <v>0</v>
      </c>
      <c r="AB294" s="37" t="str">
        <f aca="false">IF($B294="","",IF($Y294="",0,$Y294)+IF($Z294="",0,$Z294)+IF($AA294="",0,$AA294))</f>
        <v/>
      </c>
      <c r="AC294" s="35"/>
      <c r="AD294" s="33"/>
      <c r="AE294" s="36" t="str">
        <f aca="false">IF($B294="","",IF(OR($H294="Nonconformity (process)",$S294="Yes",AND(ISNUMBER($W294),$W294&gt;=Settings!$C$20)),"YES – required","No"))</f>
        <v/>
      </c>
      <c r="AF294" s="33"/>
      <c r="AG294" s="33"/>
      <c r="AH294" s="32"/>
      <c r="AI294" s="33"/>
      <c r="AJ294" s="32"/>
      <c r="AK294" s="31" t="str">
        <f aca="false">IF(OR($B294="",$AJ294=""),"",$AJ294-$B294)</f>
        <v/>
      </c>
      <c r="AL294" s="31" t="str">
        <f aca="false">IF($X294="","",INDEX(Settings!$C$15:$C$17,MATCH($X294,Settings!$B$15:$B$17,0)))</f>
        <v/>
      </c>
      <c r="AM294" s="36" t="str">
        <f aca="true">IF($B294="","",IF($AH294="","No due date",IF($AI294="Closed",IF($AJ294="","Missing close date",IF($AJ294&lt;=$AH294,"On time","Late")),IF(TODAY()&gt;$AH294,"OVERDUE","In progress"))))</f>
        <v/>
      </c>
      <c r="AN294" s="35"/>
    </row>
    <row r="295" customFormat="false" ht="27.75" hidden="false" customHeight="true" outlineLevel="0" collapsed="false">
      <c r="A295" s="31" t="str">
        <f aca="false">IF($B295="","",ROW()-4)</f>
        <v/>
      </c>
      <c r="B295" s="32"/>
      <c r="C295" s="32"/>
      <c r="D295" s="33"/>
      <c r="E295" s="33"/>
      <c r="F295" s="33"/>
      <c r="G295" s="34"/>
      <c r="H295" s="33"/>
      <c r="I295" s="33"/>
      <c r="J295" s="33"/>
      <c r="K295" s="33"/>
      <c r="L295" s="35"/>
      <c r="M295" s="33"/>
      <c r="N295" s="33"/>
      <c r="O295" s="33"/>
      <c r="P295" s="33"/>
      <c r="Q295" s="35"/>
      <c r="R295" s="33"/>
      <c r="S295" s="33"/>
      <c r="T295" s="33"/>
      <c r="U295" s="33"/>
      <c r="V295" s="33"/>
      <c r="W295" s="31" t="str">
        <f aca="false">IF(OR($T295="",$U295="",$V295=""),"",$T295*$U295*$V295)</f>
        <v/>
      </c>
      <c r="X295" s="36" t="str">
        <f aca="false">IF($W295="","",IF($T295=5,"High",IF($W295&gt;=Settings!$C$20,"High",IF(OR($W295&gt;=Settings!$C$21,$T295=4),"Medium","Low"))))</f>
        <v/>
      </c>
      <c r="Y295" s="34"/>
      <c r="Z295" s="37" t="str">
        <f aca="false">IF($O295="","",$O295*Settings!$C$5)</f>
        <v/>
      </c>
      <c r="AA295" s="37" t="n">
        <f aca="false">IF(OR($H295&lt;&gt;"Complaint",$P295&lt;&gt;"Upheld",$T295=""),0,IF($G295="",Settings!$C$6,$G295)*INDEX(Settings!$C$8:$C$12,6-$T295))</f>
        <v>0</v>
      </c>
      <c r="AB295" s="37" t="str">
        <f aca="false">IF($B295="","",IF($Y295="",0,$Y295)+IF($Z295="",0,$Z295)+IF($AA295="",0,$AA295))</f>
        <v/>
      </c>
      <c r="AC295" s="35"/>
      <c r="AD295" s="33"/>
      <c r="AE295" s="36" t="str">
        <f aca="false">IF($B295="","",IF(OR($H295="Nonconformity (process)",$S295="Yes",AND(ISNUMBER($W295),$W295&gt;=Settings!$C$20)),"YES – required","No"))</f>
        <v/>
      </c>
      <c r="AF295" s="33"/>
      <c r="AG295" s="33"/>
      <c r="AH295" s="32"/>
      <c r="AI295" s="33"/>
      <c r="AJ295" s="32"/>
      <c r="AK295" s="31" t="str">
        <f aca="false">IF(OR($B295="",$AJ295=""),"",$AJ295-$B295)</f>
        <v/>
      </c>
      <c r="AL295" s="31" t="str">
        <f aca="false">IF($X295="","",INDEX(Settings!$C$15:$C$17,MATCH($X295,Settings!$B$15:$B$17,0)))</f>
        <v/>
      </c>
      <c r="AM295" s="36" t="str">
        <f aca="true">IF($B295="","",IF($AH295="","No due date",IF($AI295="Closed",IF($AJ295="","Missing close date",IF($AJ295&lt;=$AH295,"On time","Late")),IF(TODAY()&gt;$AH295,"OVERDUE","In progress"))))</f>
        <v/>
      </c>
      <c r="AN295" s="35"/>
    </row>
    <row r="296" customFormat="false" ht="27.75" hidden="false" customHeight="true" outlineLevel="0" collapsed="false">
      <c r="A296" s="31" t="str">
        <f aca="false">IF($B296="","",ROW()-4)</f>
        <v/>
      </c>
      <c r="B296" s="32"/>
      <c r="C296" s="32"/>
      <c r="D296" s="33"/>
      <c r="E296" s="33"/>
      <c r="F296" s="33"/>
      <c r="G296" s="34"/>
      <c r="H296" s="33"/>
      <c r="I296" s="33"/>
      <c r="J296" s="33"/>
      <c r="K296" s="33"/>
      <c r="L296" s="35"/>
      <c r="M296" s="33"/>
      <c r="N296" s="33"/>
      <c r="O296" s="33"/>
      <c r="P296" s="33"/>
      <c r="Q296" s="35"/>
      <c r="R296" s="33"/>
      <c r="S296" s="33"/>
      <c r="T296" s="33"/>
      <c r="U296" s="33"/>
      <c r="V296" s="33"/>
      <c r="W296" s="31" t="str">
        <f aca="false">IF(OR($T296="",$U296="",$V296=""),"",$T296*$U296*$V296)</f>
        <v/>
      </c>
      <c r="X296" s="36" t="str">
        <f aca="false">IF($W296="","",IF($T296=5,"High",IF($W296&gt;=Settings!$C$20,"High",IF(OR($W296&gt;=Settings!$C$21,$T296=4),"Medium","Low"))))</f>
        <v/>
      </c>
      <c r="Y296" s="34"/>
      <c r="Z296" s="37" t="str">
        <f aca="false">IF($O296="","",$O296*Settings!$C$5)</f>
        <v/>
      </c>
      <c r="AA296" s="37" t="n">
        <f aca="false">IF(OR($H296&lt;&gt;"Complaint",$P296&lt;&gt;"Upheld",$T296=""),0,IF($G296="",Settings!$C$6,$G296)*INDEX(Settings!$C$8:$C$12,6-$T296))</f>
        <v>0</v>
      </c>
      <c r="AB296" s="37" t="str">
        <f aca="false">IF($B296="","",IF($Y296="",0,$Y296)+IF($Z296="",0,$Z296)+IF($AA296="",0,$AA296))</f>
        <v/>
      </c>
      <c r="AC296" s="35"/>
      <c r="AD296" s="33"/>
      <c r="AE296" s="36" t="str">
        <f aca="false">IF($B296="","",IF(OR($H296="Nonconformity (process)",$S296="Yes",AND(ISNUMBER($W296),$W296&gt;=Settings!$C$20)),"YES – required","No"))</f>
        <v/>
      </c>
      <c r="AF296" s="33"/>
      <c r="AG296" s="33"/>
      <c r="AH296" s="32"/>
      <c r="AI296" s="33"/>
      <c r="AJ296" s="32"/>
      <c r="AK296" s="31" t="str">
        <f aca="false">IF(OR($B296="",$AJ296=""),"",$AJ296-$B296)</f>
        <v/>
      </c>
      <c r="AL296" s="31" t="str">
        <f aca="false">IF($X296="","",INDEX(Settings!$C$15:$C$17,MATCH($X296,Settings!$B$15:$B$17,0)))</f>
        <v/>
      </c>
      <c r="AM296" s="36" t="str">
        <f aca="true">IF($B296="","",IF($AH296="","No due date",IF($AI296="Closed",IF($AJ296="","Missing close date",IF($AJ296&lt;=$AH296,"On time","Late")),IF(TODAY()&gt;$AH296,"OVERDUE","In progress"))))</f>
        <v/>
      </c>
      <c r="AN296" s="35"/>
    </row>
    <row r="297" customFormat="false" ht="27.75" hidden="false" customHeight="true" outlineLevel="0" collapsed="false">
      <c r="A297" s="31" t="str">
        <f aca="false">IF($B297="","",ROW()-4)</f>
        <v/>
      </c>
      <c r="B297" s="32"/>
      <c r="C297" s="32"/>
      <c r="D297" s="33"/>
      <c r="E297" s="33"/>
      <c r="F297" s="33"/>
      <c r="G297" s="34"/>
      <c r="H297" s="33"/>
      <c r="I297" s="33"/>
      <c r="J297" s="33"/>
      <c r="K297" s="33"/>
      <c r="L297" s="35"/>
      <c r="M297" s="33"/>
      <c r="N297" s="33"/>
      <c r="O297" s="33"/>
      <c r="P297" s="33"/>
      <c r="Q297" s="35"/>
      <c r="R297" s="33"/>
      <c r="S297" s="33"/>
      <c r="T297" s="33"/>
      <c r="U297" s="33"/>
      <c r="V297" s="33"/>
      <c r="W297" s="31" t="str">
        <f aca="false">IF(OR($T297="",$U297="",$V297=""),"",$T297*$U297*$V297)</f>
        <v/>
      </c>
      <c r="X297" s="36" t="str">
        <f aca="false">IF($W297="","",IF($T297=5,"High",IF($W297&gt;=Settings!$C$20,"High",IF(OR($W297&gt;=Settings!$C$21,$T297=4),"Medium","Low"))))</f>
        <v/>
      </c>
      <c r="Y297" s="34"/>
      <c r="Z297" s="37" t="str">
        <f aca="false">IF($O297="","",$O297*Settings!$C$5)</f>
        <v/>
      </c>
      <c r="AA297" s="37" t="n">
        <f aca="false">IF(OR($H297&lt;&gt;"Complaint",$P297&lt;&gt;"Upheld",$T297=""),0,IF($G297="",Settings!$C$6,$G297)*INDEX(Settings!$C$8:$C$12,6-$T297))</f>
        <v>0</v>
      </c>
      <c r="AB297" s="37" t="str">
        <f aca="false">IF($B297="","",IF($Y297="",0,$Y297)+IF($Z297="",0,$Z297)+IF($AA297="",0,$AA297))</f>
        <v/>
      </c>
      <c r="AC297" s="35"/>
      <c r="AD297" s="33"/>
      <c r="AE297" s="36" t="str">
        <f aca="false">IF($B297="","",IF(OR($H297="Nonconformity (process)",$S297="Yes",AND(ISNUMBER($W297),$W297&gt;=Settings!$C$20)),"YES – required","No"))</f>
        <v/>
      </c>
      <c r="AF297" s="33"/>
      <c r="AG297" s="33"/>
      <c r="AH297" s="32"/>
      <c r="AI297" s="33"/>
      <c r="AJ297" s="32"/>
      <c r="AK297" s="31" t="str">
        <f aca="false">IF(OR($B297="",$AJ297=""),"",$AJ297-$B297)</f>
        <v/>
      </c>
      <c r="AL297" s="31" t="str">
        <f aca="false">IF($X297="","",INDEX(Settings!$C$15:$C$17,MATCH($X297,Settings!$B$15:$B$17,0)))</f>
        <v/>
      </c>
      <c r="AM297" s="36" t="str">
        <f aca="true">IF($B297="","",IF($AH297="","No due date",IF($AI297="Closed",IF($AJ297="","Missing close date",IF($AJ297&lt;=$AH297,"On time","Late")),IF(TODAY()&gt;$AH297,"OVERDUE","In progress"))))</f>
        <v/>
      </c>
      <c r="AN297" s="35"/>
    </row>
    <row r="298" customFormat="false" ht="27.75" hidden="false" customHeight="true" outlineLevel="0" collapsed="false">
      <c r="A298" s="31" t="str">
        <f aca="false">IF($B298="","",ROW()-4)</f>
        <v/>
      </c>
      <c r="B298" s="32"/>
      <c r="C298" s="32"/>
      <c r="D298" s="33"/>
      <c r="E298" s="33"/>
      <c r="F298" s="33"/>
      <c r="G298" s="34"/>
      <c r="H298" s="33"/>
      <c r="I298" s="33"/>
      <c r="J298" s="33"/>
      <c r="K298" s="33"/>
      <c r="L298" s="35"/>
      <c r="M298" s="33"/>
      <c r="N298" s="33"/>
      <c r="O298" s="33"/>
      <c r="P298" s="33"/>
      <c r="Q298" s="35"/>
      <c r="R298" s="33"/>
      <c r="S298" s="33"/>
      <c r="T298" s="33"/>
      <c r="U298" s="33"/>
      <c r="V298" s="33"/>
      <c r="W298" s="31" t="str">
        <f aca="false">IF(OR($T298="",$U298="",$V298=""),"",$T298*$U298*$V298)</f>
        <v/>
      </c>
      <c r="X298" s="36" t="str">
        <f aca="false">IF($W298="","",IF($T298=5,"High",IF($W298&gt;=Settings!$C$20,"High",IF(OR($W298&gt;=Settings!$C$21,$T298=4),"Medium","Low"))))</f>
        <v/>
      </c>
      <c r="Y298" s="34"/>
      <c r="Z298" s="37" t="str">
        <f aca="false">IF($O298="","",$O298*Settings!$C$5)</f>
        <v/>
      </c>
      <c r="AA298" s="37" t="n">
        <f aca="false">IF(OR($H298&lt;&gt;"Complaint",$P298&lt;&gt;"Upheld",$T298=""),0,IF($G298="",Settings!$C$6,$G298)*INDEX(Settings!$C$8:$C$12,6-$T298))</f>
        <v>0</v>
      </c>
      <c r="AB298" s="37" t="str">
        <f aca="false">IF($B298="","",IF($Y298="",0,$Y298)+IF($Z298="",0,$Z298)+IF($AA298="",0,$AA298))</f>
        <v/>
      </c>
      <c r="AC298" s="35"/>
      <c r="AD298" s="33"/>
      <c r="AE298" s="36" t="str">
        <f aca="false">IF($B298="","",IF(OR($H298="Nonconformity (process)",$S298="Yes",AND(ISNUMBER($W298),$W298&gt;=Settings!$C$20)),"YES – required","No"))</f>
        <v/>
      </c>
      <c r="AF298" s="33"/>
      <c r="AG298" s="33"/>
      <c r="AH298" s="32"/>
      <c r="AI298" s="33"/>
      <c r="AJ298" s="32"/>
      <c r="AK298" s="31" t="str">
        <f aca="false">IF(OR($B298="",$AJ298=""),"",$AJ298-$B298)</f>
        <v/>
      </c>
      <c r="AL298" s="31" t="str">
        <f aca="false">IF($X298="","",INDEX(Settings!$C$15:$C$17,MATCH($X298,Settings!$B$15:$B$17,0)))</f>
        <v/>
      </c>
      <c r="AM298" s="36" t="str">
        <f aca="true">IF($B298="","",IF($AH298="","No due date",IF($AI298="Closed",IF($AJ298="","Missing close date",IF($AJ298&lt;=$AH298,"On time","Late")),IF(TODAY()&gt;$AH298,"OVERDUE","In progress"))))</f>
        <v/>
      </c>
      <c r="AN298" s="35"/>
    </row>
    <row r="299" customFormat="false" ht="27.75" hidden="false" customHeight="true" outlineLevel="0" collapsed="false">
      <c r="A299" s="31" t="str">
        <f aca="false">IF($B299="","",ROW()-4)</f>
        <v/>
      </c>
      <c r="B299" s="32"/>
      <c r="C299" s="32"/>
      <c r="D299" s="33"/>
      <c r="E299" s="33"/>
      <c r="F299" s="33"/>
      <c r="G299" s="34"/>
      <c r="H299" s="33"/>
      <c r="I299" s="33"/>
      <c r="J299" s="33"/>
      <c r="K299" s="33"/>
      <c r="L299" s="35"/>
      <c r="M299" s="33"/>
      <c r="N299" s="33"/>
      <c r="O299" s="33"/>
      <c r="P299" s="33"/>
      <c r="Q299" s="35"/>
      <c r="R299" s="33"/>
      <c r="S299" s="33"/>
      <c r="T299" s="33"/>
      <c r="U299" s="33"/>
      <c r="V299" s="33"/>
      <c r="W299" s="31" t="str">
        <f aca="false">IF(OR($T299="",$U299="",$V299=""),"",$T299*$U299*$V299)</f>
        <v/>
      </c>
      <c r="X299" s="36" t="str">
        <f aca="false">IF($W299="","",IF($T299=5,"High",IF($W299&gt;=Settings!$C$20,"High",IF(OR($W299&gt;=Settings!$C$21,$T299=4),"Medium","Low"))))</f>
        <v/>
      </c>
      <c r="Y299" s="34"/>
      <c r="Z299" s="37" t="str">
        <f aca="false">IF($O299="","",$O299*Settings!$C$5)</f>
        <v/>
      </c>
      <c r="AA299" s="37" t="n">
        <f aca="false">IF(OR($H299&lt;&gt;"Complaint",$P299&lt;&gt;"Upheld",$T299=""),0,IF($G299="",Settings!$C$6,$G299)*INDEX(Settings!$C$8:$C$12,6-$T299))</f>
        <v>0</v>
      </c>
      <c r="AB299" s="37" t="str">
        <f aca="false">IF($B299="","",IF($Y299="",0,$Y299)+IF($Z299="",0,$Z299)+IF($AA299="",0,$AA299))</f>
        <v/>
      </c>
      <c r="AC299" s="35"/>
      <c r="AD299" s="33"/>
      <c r="AE299" s="36" t="str">
        <f aca="false">IF($B299="","",IF(OR($H299="Nonconformity (process)",$S299="Yes",AND(ISNUMBER($W299),$W299&gt;=Settings!$C$20)),"YES – required","No"))</f>
        <v/>
      </c>
      <c r="AF299" s="33"/>
      <c r="AG299" s="33"/>
      <c r="AH299" s="32"/>
      <c r="AI299" s="33"/>
      <c r="AJ299" s="32"/>
      <c r="AK299" s="31" t="str">
        <f aca="false">IF(OR($B299="",$AJ299=""),"",$AJ299-$B299)</f>
        <v/>
      </c>
      <c r="AL299" s="31" t="str">
        <f aca="false">IF($X299="","",INDEX(Settings!$C$15:$C$17,MATCH($X299,Settings!$B$15:$B$17,0)))</f>
        <v/>
      </c>
      <c r="AM299" s="36" t="str">
        <f aca="true">IF($B299="","",IF($AH299="","No due date",IF($AI299="Closed",IF($AJ299="","Missing close date",IF($AJ299&lt;=$AH299,"On time","Late")),IF(TODAY()&gt;$AH299,"OVERDUE","In progress"))))</f>
        <v/>
      </c>
      <c r="AN299" s="35"/>
    </row>
    <row r="300" customFormat="false" ht="27.75" hidden="false" customHeight="true" outlineLevel="0" collapsed="false">
      <c r="A300" s="31" t="str">
        <f aca="false">IF($B300="","",ROW()-4)</f>
        <v/>
      </c>
      <c r="B300" s="32"/>
      <c r="C300" s="32"/>
      <c r="D300" s="33"/>
      <c r="E300" s="33"/>
      <c r="F300" s="33"/>
      <c r="G300" s="34"/>
      <c r="H300" s="33"/>
      <c r="I300" s="33"/>
      <c r="J300" s="33"/>
      <c r="K300" s="33"/>
      <c r="L300" s="35"/>
      <c r="M300" s="33"/>
      <c r="N300" s="33"/>
      <c r="O300" s="33"/>
      <c r="P300" s="33"/>
      <c r="Q300" s="35"/>
      <c r="R300" s="33"/>
      <c r="S300" s="33"/>
      <c r="T300" s="33"/>
      <c r="U300" s="33"/>
      <c r="V300" s="33"/>
      <c r="W300" s="31" t="str">
        <f aca="false">IF(OR($T300="",$U300="",$V300=""),"",$T300*$U300*$V300)</f>
        <v/>
      </c>
      <c r="X300" s="36" t="str">
        <f aca="false">IF($W300="","",IF($T300=5,"High",IF($W300&gt;=Settings!$C$20,"High",IF(OR($W300&gt;=Settings!$C$21,$T300=4),"Medium","Low"))))</f>
        <v/>
      </c>
      <c r="Y300" s="34"/>
      <c r="Z300" s="37" t="str">
        <f aca="false">IF($O300="","",$O300*Settings!$C$5)</f>
        <v/>
      </c>
      <c r="AA300" s="37" t="n">
        <f aca="false">IF(OR($H300&lt;&gt;"Complaint",$P300&lt;&gt;"Upheld",$T300=""),0,IF($G300="",Settings!$C$6,$G300)*INDEX(Settings!$C$8:$C$12,6-$T300))</f>
        <v>0</v>
      </c>
      <c r="AB300" s="37" t="str">
        <f aca="false">IF($B300="","",IF($Y300="",0,$Y300)+IF($Z300="",0,$Z300)+IF($AA300="",0,$AA300))</f>
        <v/>
      </c>
      <c r="AC300" s="35"/>
      <c r="AD300" s="33"/>
      <c r="AE300" s="36" t="str">
        <f aca="false">IF($B300="","",IF(OR($H300="Nonconformity (process)",$S300="Yes",AND(ISNUMBER($W300),$W300&gt;=Settings!$C$20)),"YES – required","No"))</f>
        <v/>
      </c>
      <c r="AF300" s="33"/>
      <c r="AG300" s="33"/>
      <c r="AH300" s="32"/>
      <c r="AI300" s="33"/>
      <c r="AJ300" s="32"/>
      <c r="AK300" s="31" t="str">
        <f aca="false">IF(OR($B300="",$AJ300=""),"",$AJ300-$B300)</f>
        <v/>
      </c>
      <c r="AL300" s="31" t="str">
        <f aca="false">IF($X300="","",INDEX(Settings!$C$15:$C$17,MATCH($X300,Settings!$B$15:$B$17,0)))</f>
        <v/>
      </c>
      <c r="AM300" s="36" t="str">
        <f aca="true">IF($B300="","",IF($AH300="","No due date",IF($AI300="Closed",IF($AJ300="","Missing close date",IF($AJ300&lt;=$AH300,"On time","Late")),IF(TODAY()&gt;$AH300,"OVERDUE","In progress"))))</f>
        <v/>
      </c>
      <c r="AN300" s="35"/>
    </row>
    <row r="301" customFormat="false" ht="27.75" hidden="false" customHeight="true" outlineLevel="0" collapsed="false">
      <c r="A301" s="31" t="str">
        <f aca="false">IF($B301="","",ROW()-4)</f>
        <v/>
      </c>
      <c r="B301" s="32"/>
      <c r="C301" s="32"/>
      <c r="D301" s="33"/>
      <c r="E301" s="33"/>
      <c r="F301" s="33"/>
      <c r="G301" s="34"/>
      <c r="H301" s="33"/>
      <c r="I301" s="33"/>
      <c r="J301" s="33"/>
      <c r="K301" s="33"/>
      <c r="L301" s="35"/>
      <c r="M301" s="33"/>
      <c r="N301" s="33"/>
      <c r="O301" s="33"/>
      <c r="P301" s="33"/>
      <c r="Q301" s="35"/>
      <c r="R301" s="33"/>
      <c r="S301" s="33"/>
      <c r="T301" s="33"/>
      <c r="U301" s="33"/>
      <c r="V301" s="33"/>
      <c r="W301" s="31" t="str">
        <f aca="false">IF(OR($T301="",$U301="",$V301=""),"",$T301*$U301*$V301)</f>
        <v/>
      </c>
      <c r="X301" s="36" t="str">
        <f aca="false">IF($W301="","",IF($T301=5,"High",IF($W301&gt;=Settings!$C$20,"High",IF(OR($W301&gt;=Settings!$C$21,$T301=4),"Medium","Low"))))</f>
        <v/>
      </c>
      <c r="Y301" s="34"/>
      <c r="Z301" s="37" t="str">
        <f aca="false">IF($O301="","",$O301*Settings!$C$5)</f>
        <v/>
      </c>
      <c r="AA301" s="37" t="n">
        <f aca="false">IF(OR($H301&lt;&gt;"Complaint",$P301&lt;&gt;"Upheld",$T301=""),0,IF($G301="",Settings!$C$6,$G301)*INDEX(Settings!$C$8:$C$12,6-$T301))</f>
        <v>0</v>
      </c>
      <c r="AB301" s="37" t="str">
        <f aca="false">IF($B301="","",IF($Y301="",0,$Y301)+IF($Z301="",0,$Z301)+IF($AA301="",0,$AA301))</f>
        <v/>
      </c>
      <c r="AC301" s="35"/>
      <c r="AD301" s="33"/>
      <c r="AE301" s="36" t="str">
        <f aca="false">IF($B301="","",IF(OR($H301="Nonconformity (process)",$S301="Yes",AND(ISNUMBER($W301),$W301&gt;=Settings!$C$20)),"YES – required","No"))</f>
        <v/>
      </c>
      <c r="AF301" s="33"/>
      <c r="AG301" s="33"/>
      <c r="AH301" s="32"/>
      <c r="AI301" s="33"/>
      <c r="AJ301" s="32"/>
      <c r="AK301" s="31" t="str">
        <f aca="false">IF(OR($B301="",$AJ301=""),"",$AJ301-$B301)</f>
        <v/>
      </c>
      <c r="AL301" s="31" t="str">
        <f aca="false">IF($X301="","",INDEX(Settings!$C$15:$C$17,MATCH($X301,Settings!$B$15:$B$17,0)))</f>
        <v/>
      </c>
      <c r="AM301" s="36" t="str">
        <f aca="true">IF($B301="","",IF($AH301="","No due date",IF($AI301="Closed",IF($AJ301="","Missing close date",IF($AJ301&lt;=$AH301,"On time","Late")),IF(TODAY()&gt;$AH301,"OVERDUE","In progress"))))</f>
        <v/>
      </c>
      <c r="AN301" s="35"/>
    </row>
    <row r="302" customFormat="false" ht="27.75" hidden="false" customHeight="true" outlineLevel="0" collapsed="false">
      <c r="A302" s="31" t="str">
        <f aca="false">IF($B302="","",ROW()-4)</f>
        <v/>
      </c>
      <c r="B302" s="32"/>
      <c r="C302" s="32"/>
      <c r="D302" s="33"/>
      <c r="E302" s="33"/>
      <c r="F302" s="33"/>
      <c r="G302" s="34"/>
      <c r="H302" s="33"/>
      <c r="I302" s="33"/>
      <c r="J302" s="33"/>
      <c r="K302" s="33"/>
      <c r="L302" s="35"/>
      <c r="M302" s="33"/>
      <c r="N302" s="33"/>
      <c r="O302" s="33"/>
      <c r="P302" s="33"/>
      <c r="Q302" s="35"/>
      <c r="R302" s="33"/>
      <c r="S302" s="33"/>
      <c r="T302" s="33"/>
      <c r="U302" s="33"/>
      <c r="V302" s="33"/>
      <c r="W302" s="31" t="str">
        <f aca="false">IF(OR($T302="",$U302="",$V302=""),"",$T302*$U302*$V302)</f>
        <v/>
      </c>
      <c r="X302" s="36" t="str">
        <f aca="false">IF($W302="","",IF($T302=5,"High",IF($W302&gt;=Settings!$C$20,"High",IF(OR($W302&gt;=Settings!$C$21,$T302=4),"Medium","Low"))))</f>
        <v/>
      </c>
      <c r="Y302" s="34"/>
      <c r="Z302" s="37" t="str">
        <f aca="false">IF($O302="","",$O302*Settings!$C$5)</f>
        <v/>
      </c>
      <c r="AA302" s="37" t="n">
        <f aca="false">IF(OR($H302&lt;&gt;"Complaint",$P302&lt;&gt;"Upheld",$T302=""),0,IF($G302="",Settings!$C$6,$G302)*INDEX(Settings!$C$8:$C$12,6-$T302))</f>
        <v>0</v>
      </c>
      <c r="AB302" s="37" t="str">
        <f aca="false">IF($B302="","",IF($Y302="",0,$Y302)+IF($Z302="",0,$Z302)+IF($AA302="",0,$AA302))</f>
        <v/>
      </c>
      <c r="AC302" s="35"/>
      <c r="AD302" s="33"/>
      <c r="AE302" s="36" t="str">
        <f aca="false">IF($B302="","",IF(OR($H302="Nonconformity (process)",$S302="Yes",AND(ISNUMBER($W302),$W302&gt;=Settings!$C$20)),"YES – required","No"))</f>
        <v/>
      </c>
      <c r="AF302" s="33"/>
      <c r="AG302" s="33"/>
      <c r="AH302" s="32"/>
      <c r="AI302" s="33"/>
      <c r="AJ302" s="32"/>
      <c r="AK302" s="31" t="str">
        <f aca="false">IF(OR($B302="",$AJ302=""),"",$AJ302-$B302)</f>
        <v/>
      </c>
      <c r="AL302" s="31" t="str">
        <f aca="false">IF($X302="","",INDEX(Settings!$C$15:$C$17,MATCH($X302,Settings!$B$15:$B$17,0)))</f>
        <v/>
      </c>
      <c r="AM302" s="36" t="str">
        <f aca="true">IF($B302="","",IF($AH302="","No due date",IF($AI302="Closed",IF($AJ302="","Missing close date",IF($AJ302&lt;=$AH302,"On time","Late")),IF(TODAY()&gt;$AH302,"OVERDUE","In progress"))))</f>
        <v/>
      </c>
      <c r="AN302" s="35"/>
    </row>
    <row r="303" customFormat="false" ht="27.75" hidden="false" customHeight="true" outlineLevel="0" collapsed="false">
      <c r="A303" s="31" t="str">
        <f aca="false">IF($B303="","",ROW()-4)</f>
        <v/>
      </c>
      <c r="B303" s="32"/>
      <c r="C303" s="32"/>
      <c r="D303" s="33"/>
      <c r="E303" s="33"/>
      <c r="F303" s="33"/>
      <c r="G303" s="34"/>
      <c r="H303" s="33"/>
      <c r="I303" s="33"/>
      <c r="J303" s="33"/>
      <c r="K303" s="33"/>
      <c r="L303" s="35"/>
      <c r="M303" s="33"/>
      <c r="N303" s="33"/>
      <c r="O303" s="33"/>
      <c r="P303" s="33"/>
      <c r="Q303" s="35"/>
      <c r="R303" s="33"/>
      <c r="S303" s="33"/>
      <c r="T303" s="33"/>
      <c r="U303" s="33"/>
      <c r="V303" s="33"/>
      <c r="W303" s="31" t="str">
        <f aca="false">IF(OR($T303="",$U303="",$V303=""),"",$T303*$U303*$V303)</f>
        <v/>
      </c>
      <c r="X303" s="36" t="str">
        <f aca="false">IF($W303="","",IF($T303=5,"High",IF($W303&gt;=Settings!$C$20,"High",IF(OR($W303&gt;=Settings!$C$21,$T303=4),"Medium","Low"))))</f>
        <v/>
      </c>
      <c r="Y303" s="34"/>
      <c r="Z303" s="37" t="str">
        <f aca="false">IF($O303="","",$O303*Settings!$C$5)</f>
        <v/>
      </c>
      <c r="AA303" s="37" t="n">
        <f aca="false">IF(OR($H303&lt;&gt;"Complaint",$P303&lt;&gt;"Upheld",$T303=""),0,IF($G303="",Settings!$C$6,$G303)*INDEX(Settings!$C$8:$C$12,6-$T303))</f>
        <v>0</v>
      </c>
      <c r="AB303" s="37" t="str">
        <f aca="false">IF($B303="","",IF($Y303="",0,$Y303)+IF($Z303="",0,$Z303)+IF($AA303="",0,$AA303))</f>
        <v/>
      </c>
      <c r="AC303" s="35"/>
      <c r="AD303" s="33"/>
      <c r="AE303" s="36" t="str">
        <f aca="false">IF($B303="","",IF(OR($H303="Nonconformity (process)",$S303="Yes",AND(ISNUMBER($W303),$W303&gt;=Settings!$C$20)),"YES – required","No"))</f>
        <v/>
      </c>
      <c r="AF303" s="33"/>
      <c r="AG303" s="33"/>
      <c r="AH303" s="32"/>
      <c r="AI303" s="33"/>
      <c r="AJ303" s="32"/>
      <c r="AK303" s="31" t="str">
        <f aca="false">IF(OR($B303="",$AJ303=""),"",$AJ303-$B303)</f>
        <v/>
      </c>
      <c r="AL303" s="31" t="str">
        <f aca="false">IF($X303="","",INDEX(Settings!$C$15:$C$17,MATCH($X303,Settings!$B$15:$B$17,0)))</f>
        <v/>
      </c>
      <c r="AM303" s="36" t="str">
        <f aca="true">IF($B303="","",IF($AH303="","No due date",IF($AI303="Closed",IF($AJ303="","Missing close date",IF($AJ303&lt;=$AH303,"On time","Late")),IF(TODAY()&gt;$AH303,"OVERDUE","In progress"))))</f>
        <v/>
      </c>
      <c r="AN303" s="35"/>
    </row>
    <row r="304" customFormat="false" ht="27.75" hidden="false" customHeight="true" outlineLevel="0" collapsed="false">
      <c r="A304" s="31" t="str">
        <f aca="false">IF($B304="","",ROW()-4)</f>
        <v/>
      </c>
      <c r="B304" s="32"/>
      <c r="C304" s="32"/>
      <c r="D304" s="33"/>
      <c r="E304" s="33"/>
      <c r="F304" s="33"/>
      <c r="G304" s="34"/>
      <c r="H304" s="33"/>
      <c r="I304" s="33"/>
      <c r="J304" s="33"/>
      <c r="K304" s="33"/>
      <c r="L304" s="35"/>
      <c r="M304" s="33"/>
      <c r="N304" s="33"/>
      <c r="O304" s="33"/>
      <c r="P304" s="33"/>
      <c r="Q304" s="35"/>
      <c r="R304" s="33"/>
      <c r="S304" s="33"/>
      <c r="T304" s="33"/>
      <c r="U304" s="33"/>
      <c r="V304" s="33"/>
      <c r="W304" s="31" t="str">
        <f aca="false">IF(OR($T304="",$U304="",$V304=""),"",$T304*$U304*$V304)</f>
        <v/>
      </c>
      <c r="X304" s="36" t="str">
        <f aca="false">IF($W304="","",IF($T304=5,"High",IF($W304&gt;=Settings!$C$20,"High",IF(OR($W304&gt;=Settings!$C$21,$T304=4),"Medium","Low"))))</f>
        <v/>
      </c>
      <c r="Y304" s="34"/>
      <c r="Z304" s="37" t="str">
        <f aca="false">IF($O304="","",$O304*Settings!$C$5)</f>
        <v/>
      </c>
      <c r="AA304" s="37" t="n">
        <f aca="false">IF(OR($H304&lt;&gt;"Complaint",$P304&lt;&gt;"Upheld",$T304=""),0,IF($G304="",Settings!$C$6,$G304)*INDEX(Settings!$C$8:$C$12,6-$T304))</f>
        <v>0</v>
      </c>
      <c r="AB304" s="37" t="str">
        <f aca="false">IF($B304="","",IF($Y304="",0,$Y304)+IF($Z304="",0,$Z304)+IF($AA304="",0,$AA304))</f>
        <v/>
      </c>
      <c r="AC304" s="35"/>
      <c r="AD304" s="33"/>
      <c r="AE304" s="36" t="str">
        <f aca="false">IF($B304="","",IF(OR($H304="Nonconformity (process)",$S304="Yes",AND(ISNUMBER($W304),$W304&gt;=Settings!$C$20)),"YES – required","No"))</f>
        <v/>
      </c>
      <c r="AF304" s="33"/>
      <c r="AG304" s="33"/>
      <c r="AH304" s="32"/>
      <c r="AI304" s="33"/>
      <c r="AJ304" s="32"/>
      <c r="AK304" s="31" t="str">
        <f aca="false">IF(OR($B304="",$AJ304=""),"",$AJ304-$B304)</f>
        <v/>
      </c>
      <c r="AL304" s="31" t="str">
        <f aca="false">IF($X304="","",INDEX(Settings!$C$15:$C$17,MATCH($X304,Settings!$B$15:$B$17,0)))</f>
        <v/>
      </c>
      <c r="AM304" s="36" t="str">
        <f aca="true">IF($B304="","",IF($AH304="","No due date",IF($AI304="Closed",IF($AJ304="","Missing close date",IF($AJ304&lt;=$AH304,"On time","Late")),IF(TODAY()&gt;$AH304,"OVERDUE","In progress"))))</f>
        <v/>
      </c>
      <c r="AN304" s="35"/>
    </row>
  </sheetData>
  <sheetProtection sheet="true" formatColumns="false" formatRows="false" insertRows="false" deleteRows="false" sort="false" autoFilter="false"/>
  <autoFilter ref="A4:AN304"/>
  <mergeCells count="7">
    <mergeCell ref="A1:AN1"/>
    <mergeCell ref="A2:AN2"/>
    <mergeCell ref="B3:O3"/>
    <mergeCell ref="P3:V3"/>
    <mergeCell ref="W3:AB3"/>
    <mergeCell ref="AC3:AF3"/>
    <mergeCell ref="AG3:AN3"/>
  </mergeCells>
  <conditionalFormatting sqref="AM5:AM304">
    <cfRule type="cellIs" priority="2" operator="equal" aboveAverage="0" equalAverage="0" bottom="0" percent="0" rank="0" text="" dxfId="15">
      <formula>"OVERDUE"</formula>
    </cfRule>
    <cfRule type="cellIs" priority="3" operator="equal" aboveAverage="0" equalAverage="0" bottom="0" percent="0" rank="0" text="" dxfId="16">
      <formula>"Late"</formula>
    </cfRule>
    <cfRule type="cellIs" priority="4" operator="equal" aboveAverage="0" equalAverage="0" bottom="0" percent="0" rank="0" text="" dxfId="17">
      <formula>"On time"</formula>
    </cfRule>
  </conditionalFormatting>
  <conditionalFormatting sqref="AE5:AE304">
    <cfRule type="cellIs" priority="5" operator="equal" aboveAverage="0" equalAverage="0" bottom="0" percent="0" rank="0" text="" dxfId="18">
      <formula>"YES – required"</formula>
    </cfRule>
  </conditionalFormatting>
  <conditionalFormatting sqref="X5:X304">
    <cfRule type="cellIs" priority="6" operator="equal" aboveAverage="0" equalAverage="0" bottom="0" percent="0" rank="0" text="" dxfId="15">
      <formula>"High"</formula>
    </cfRule>
    <cfRule type="cellIs" priority="7" operator="equal" aboveAverage="0" equalAverage="0" bottom="0" percent="0" rank="0" text="" dxfId="19">
      <formula>"Medium"</formula>
    </cfRule>
  </conditionalFormatting>
  <conditionalFormatting sqref="AB5:AB304">
    <cfRule type="cellIs" priority="8" operator="greaterThan" aboveAverage="0" equalAverage="0" bottom="0" percent="0" rank="0" text="" dxfId="20">
      <formula>500</formula>
    </cfRule>
  </conditionalFormatting>
  <conditionalFormatting sqref="P5:P304">
    <cfRule type="cellIs" priority="9" operator="equal" aboveAverage="0" equalAverage="0" bottom="0" percent="0" rank="0" text="" dxfId="15">
      <formula>"Upheld"</formula>
    </cfRule>
    <cfRule type="cellIs" priority="10" operator="equal" aboveAverage="0" equalAverage="0" bottom="0" percent="0" rank="0" text="" dxfId="19">
      <formula>"Under review"</formula>
    </cfRule>
    <cfRule type="expression" priority="11" aboveAverage="0" equalAverage="0" bottom="0" percent="0" rank="0" text="" dxfId="21">
      <formula>AND($H5="Complaint",$AI5="Closed",OR($P5="",$P5="Under review"))</formula>
    </cfRule>
  </conditionalFormatting>
  <conditionalFormatting sqref="AF5:AF304">
    <cfRule type="expression" priority="12" aboveAverage="0" equalAverage="0" bottom="0" percent="0" rank="0" text="" dxfId="21">
      <formula>AND($AE5="YES – required",$AF5="")</formula>
    </cfRule>
  </conditionalFormatting>
  <conditionalFormatting sqref="AD5:AD304">
    <cfRule type="expression" priority="13" aboveAverage="0" equalAverage="0" bottom="0" percent="0" rank="0" text="" dxfId="21">
      <formula>AND($AI5="Closed",$AD5&lt;&gt;"Yes")</formula>
    </cfRule>
  </conditionalFormatting>
  <dataValidations count="24">
    <dataValidation allowBlank="true" error="Pick a value from the list. Free text means the summaries will not count this record." errorStyle="stop" errorTitle="Value not allowed" operator="between" showDropDown="false" showErrorMessage="true" showInputMessage="false" sqref="D5:D304" type="list">
      <formula1>Lists!$A$5:$A$11</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F5:F304" type="list">
      <formula1>Lists!$B$5:$B$9</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H5:H304" type="list">
      <formula1>Lists!$C$5:$C$8</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I5:I304" type="list">
      <formula1>Lists!$D$5:$D$12</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J5:J304" type="list">
      <formula1>Lists!$E$5:$E$15</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K5:K304" type="list">
      <formula1>Lists!$F$5:$F$13</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M5:M304" type="list">
      <formula1>Lists!$G$5:$G$11</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N5:N304" type="list">
      <formula1>Lists!$L$5:$L$7</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P5:P304" type="list">
      <formula1>Lists!$Q$5:$Q$7</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Q5:Q304" type="list">
      <formula1>Lists!$H$5:$H$16</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R5:R304" type="list">
      <formula1>Lists!$I$5:$I$11</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S5:S304" type="list">
      <formula1>Lists!$K$5:$K$6</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T5:T304" type="list">
      <formula1>Lists!$M$5:$M$9</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U5:U304" type="list">
      <formula1>Lists!$M$5:$M$9</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V5:V304" type="list">
      <formula1>Lists!$M$5:$M$9</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AD5:AD304" type="list">
      <formula1>Lists!$K$5:$K$6</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AG5:AG304" type="list">
      <formula1>Lists!$P$5:$P$11</formula1>
      <formula2>0</formula2>
    </dataValidation>
    <dataValidation allowBlank="true" error="Pick a value from the list. Free text means the summaries will not count this record." errorStyle="stop" errorTitle="Value not allowed" operator="between" showDropDown="false" showErrorMessage="true" showInputMessage="false" sqref="AI5:AI304" type="list">
      <formula1>Lists!$J$5:$J$9</formula1>
      <formula2>0</formula2>
    </dataValidation>
    <dataValidation allowBlank="true" error="Enter a real date (e.g. 2026-07-15). A text date breaks every SLA and duration calculation." errorStyle="stop" errorTitle="Must be a date" operator="between" showDropDown="false" showErrorMessage="true" showInputMessage="false" sqref="B5:B304" type="date">
      <formula1>DATE(2020,1,1)</formula1>
      <formula2>DATE(2100,12,31)</formula2>
    </dataValidation>
    <dataValidation allowBlank="true" error="Enter a real date (e.g. 2026-07-15). A text date breaks every SLA and duration calculation." errorStyle="stop" errorTitle="Must be a date" operator="between" showDropDown="false" showErrorMessage="true" showInputMessage="false" sqref="C5:C304" type="date">
      <formula1>DATE(2020,1,1)</formula1>
      <formula2>DATE(2100,12,31)</formula2>
    </dataValidation>
    <dataValidation allowBlank="true" error="Enter a real date (e.g. 2026-07-15). A text date breaks every SLA and duration calculation." errorStyle="stop" errorTitle="Must be a date" operator="between" showDropDown="false" showErrorMessage="true" showInputMessage="false" sqref="AH5:AH304" type="date">
      <formula1>DATE(2020,1,1)</formula1>
      <formula2>DATE(2100,12,31)</formula2>
    </dataValidation>
    <dataValidation allowBlank="true" error="Enter a real date (e.g. 2026-07-15). A text date breaks every SLA and duration calculation." errorStyle="stop" errorTitle="Must be a date" operator="between" showDropDown="false" showErrorMessage="true" showInputMessage="false" sqref="AJ5:AJ304" type="date">
      <formula1>DATE(2020,1,1)</formula1>
      <formula2>DATE(2100,12,31)</formula2>
    </dataValidation>
    <dataValidation allowBlank="true" error="Enter the number of contacts (whole number)." errorStyle="stop" operator="between" showDropDown="false" showErrorMessage="true" showInputMessage="false" sqref="O5:O304" type="whole">
      <formula1>1</formula1>
      <formula2>50</formula2>
    </dataValidation>
    <dataValidation allowBlank="true" error="Enter an amount in euros (number)." errorStyle="stop" operator="greaterThanOrEqual" showDropDown="false" showErrorMessage="true" showInputMessage="false" sqref="G5:G304 Y5:Y304" type="decimal">
      <formula1>0</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14"/>
    <col collapsed="false" customWidth="true" hidden="false" outlineLevel="0" max="3" min="3" style="0" width="12"/>
    <col collapsed="false" customWidth="true" hidden="false" outlineLevel="0" max="4" min="4" style="0" width="40"/>
    <col collapsed="false" customWidth="true" hidden="false" outlineLevel="0" max="5" min="5" style="0" width="30"/>
    <col collapsed="false" customWidth="true" hidden="false" outlineLevel="0" max="6" min="6" style="0" width="16"/>
    <col collapsed="false" customWidth="true" hidden="false" outlineLevel="0" max="7" min="7" style="0" width="50"/>
    <col collapsed="false" customWidth="true" hidden="false" outlineLevel="0" max="8" min="8" style="0" width="34"/>
    <col collapsed="false" customWidth="true" hidden="false" outlineLevel="0" max="9" min="9" style="0" width="44"/>
    <col collapsed="false" customWidth="true" hidden="false" outlineLevel="0" max="10" min="10" style="0" width="30"/>
    <col collapsed="false" customWidth="true" hidden="false" outlineLevel="0" max="11" min="11" style="0" width="20"/>
    <col collapsed="false" customWidth="true" hidden="false" outlineLevel="0" max="12" min="12" style="0" width="12"/>
    <col collapsed="false" customWidth="true" hidden="false" outlineLevel="0" max="13" min="13" style="0" width="22"/>
    <col collapsed="false" customWidth="true" hidden="false" outlineLevel="0" max="14" min="14" style="0" width="12"/>
    <col collapsed="false" customWidth="true" hidden="false" outlineLevel="0" max="15" min="15" style="0" width="14"/>
    <col collapsed="false" customWidth="true" hidden="false" outlineLevel="0" max="16" min="16" style="0" width="30"/>
    <col collapsed="false" customWidth="true" hidden="false" outlineLevel="0" max="17" min="17" style="0" width="12"/>
    <col collapsed="false" customWidth="true" hidden="false" outlineLevel="0" max="18" min="18" style="0" width="26"/>
    <col collapsed="false" customWidth="true" hidden="false" outlineLevel="0" max="19" min="19" style="0" width="14"/>
    <col collapsed="false" customWidth="true" hidden="false" outlineLevel="0" max="20" min="20" style="0" width="30"/>
  </cols>
  <sheetData>
    <row r="1" customFormat="false" ht="25.5" hidden="false" customHeight="true" outlineLevel="0" collapsed="false">
      <c r="A1" s="39" t="s">
        <v>296</v>
      </c>
      <c r="B1" s="39"/>
      <c r="C1" s="39"/>
      <c r="D1" s="39"/>
      <c r="E1" s="39"/>
      <c r="F1" s="39"/>
      <c r="G1" s="39"/>
      <c r="H1" s="39"/>
      <c r="I1" s="39"/>
      <c r="J1" s="39"/>
      <c r="K1" s="39"/>
      <c r="L1" s="39"/>
      <c r="M1" s="39"/>
      <c r="N1" s="39"/>
      <c r="O1" s="39"/>
      <c r="P1" s="39"/>
      <c r="Q1" s="39"/>
      <c r="R1" s="39"/>
      <c r="S1" s="39"/>
      <c r="T1" s="39"/>
    </row>
    <row r="2" customFormat="false" ht="25.5" hidden="false" customHeight="true" outlineLevel="0" collapsed="false">
      <c r="A2" s="40" t="s">
        <v>297</v>
      </c>
      <c r="B2" s="40"/>
      <c r="C2" s="40"/>
      <c r="D2" s="40"/>
      <c r="E2" s="40"/>
      <c r="F2" s="40"/>
      <c r="G2" s="40"/>
      <c r="H2" s="40"/>
      <c r="I2" s="40"/>
      <c r="J2" s="40"/>
      <c r="K2" s="40"/>
      <c r="L2" s="40"/>
      <c r="M2" s="40"/>
      <c r="N2" s="40"/>
      <c r="O2" s="40"/>
      <c r="P2" s="40"/>
      <c r="Q2" s="40"/>
      <c r="R2" s="40"/>
      <c r="S2" s="40"/>
      <c r="T2" s="40"/>
    </row>
    <row r="4" customFormat="false" ht="49.5" hidden="false" customHeight="true" outlineLevel="0" collapsed="false">
      <c r="A4" s="29" t="s">
        <v>245</v>
      </c>
      <c r="B4" s="29" t="s">
        <v>298</v>
      </c>
      <c r="C4" s="29" t="s">
        <v>299</v>
      </c>
      <c r="D4" s="29" t="s">
        <v>300</v>
      </c>
      <c r="E4" s="29" t="s">
        <v>301</v>
      </c>
      <c r="F4" s="29" t="s">
        <v>232</v>
      </c>
      <c r="G4" s="29" t="s">
        <v>302</v>
      </c>
      <c r="H4" s="29" t="s">
        <v>303</v>
      </c>
      <c r="I4" s="29" t="s">
        <v>304</v>
      </c>
      <c r="J4" s="29" t="s">
        <v>305</v>
      </c>
      <c r="K4" s="29" t="s">
        <v>82</v>
      </c>
      <c r="L4" s="29" t="s">
        <v>246</v>
      </c>
      <c r="M4" s="29" t="s">
        <v>76</v>
      </c>
      <c r="N4" s="29" t="s">
        <v>306</v>
      </c>
      <c r="O4" s="28" t="s">
        <v>307</v>
      </c>
      <c r="P4" s="29" t="s">
        <v>308</v>
      </c>
      <c r="Q4" s="28" t="s">
        <v>309</v>
      </c>
      <c r="R4" s="28" t="s">
        <v>310</v>
      </c>
      <c r="S4" s="28" t="s">
        <v>311</v>
      </c>
      <c r="T4" s="29" t="s">
        <v>251</v>
      </c>
    </row>
    <row r="5" customFormat="false" ht="30" hidden="false" customHeight="true" outlineLevel="0" collapsed="false">
      <c r="A5" s="33" t="s">
        <v>255</v>
      </c>
      <c r="B5" s="33" t="s">
        <v>312</v>
      </c>
      <c r="C5" s="32" t="n">
        <v>46160</v>
      </c>
      <c r="D5" s="35" t="s">
        <v>313</v>
      </c>
      <c r="E5" s="35" t="s">
        <v>91</v>
      </c>
      <c r="F5" s="33" t="s">
        <v>135</v>
      </c>
      <c r="G5" s="35" t="s">
        <v>314</v>
      </c>
      <c r="H5" s="35" t="s">
        <v>315</v>
      </c>
      <c r="I5" s="35" t="s">
        <v>316</v>
      </c>
      <c r="J5" s="35" t="s">
        <v>317</v>
      </c>
      <c r="K5" s="33" t="s">
        <v>111</v>
      </c>
      <c r="L5" s="32" t="n">
        <v>46208</v>
      </c>
      <c r="M5" s="33" t="s">
        <v>124</v>
      </c>
      <c r="N5" s="32"/>
      <c r="O5" s="41" t="str">
        <f aca="false">IF($N5="","",$N5+Settings!$C$27)</f>
        <v/>
      </c>
      <c r="P5" s="35" t="s">
        <v>318</v>
      </c>
      <c r="Q5" s="31" t="str">
        <f aca="false">IF(OR($E5="",$N5=""),"",COUNTIFS(Register!$Q$5:$Q$304,$E5,Register!$B$5:$B$304,"&gt;"&amp;$N5))</f>
        <v/>
      </c>
      <c r="R5" s="42" t="str">
        <f aca="true">IF($Q5="","Awaiting implementation",IF(TODAY()&lt;$O5,"Monitored until "&amp;TEXT($O5,"YYYY-MM-DD"),IF($Q5=0,"VERIFIED – cause eliminated","INEFFECTIVE – repeat analysis")))</f>
        <v>Awaiting implementation</v>
      </c>
      <c r="S5" s="37" t="n">
        <f aca="true">IF($E5="","",SUMIFS(Register!$AB$5:$AB$304,Register!$Q$5:$Q$304,$E5,Register!$B$5:$B$304,"&lt;"&amp;IF($N5="",TODAY(),$N5)))</f>
        <v>50236</v>
      </c>
      <c r="T5" s="35" t="s">
        <v>319</v>
      </c>
    </row>
    <row r="6" customFormat="false" ht="30" hidden="false" customHeight="true" outlineLevel="0" collapsed="false">
      <c r="A6" s="33" t="s">
        <v>260</v>
      </c>
      <c r="B6" s="33" t="s">
        <v>320</v>
      </c>
      <c r="C6" s="32" t="n">
        <v>46166</v>
      </c>
      <c r="D6" s="35" t="s">
        <v>321</v>
      </c>
      <c r="E6" s="35" t="s">
        <v>105</v>
      </c>
      <c r="F6" s="33" t="s">
        <v>120</v>
      </c>
      <c r="G6" s="35" t="s">
        <v>322</v>
      </c>
      <c r="H6" s="35" t="s">
        <v>323</v>
      </c>
      <c r="I6" s="35" t="s">
        <v>324</v>
      </c>
      <c r="J6" s="35" t="s">
        <v>325</v>
      </c>
      <c r="K6" s="33" t="s">
        <v>125</v>
      </c>
      <c r="L6" s="32" t="n">
        <v>46188</v>
      </c>
      <c r="M6" s="33" t="s">
        <v>137</v>
      </c>
      <c r="N6" s="32" t="n">
        <v>46190</v>
      </c>
      <c r="O6" s="41" t="n">
        <f aca="false">IF($N6="","",$N6+Settings!$C$27)</f>
        <v>46250</v>
      </c>
      <c r="P6" s="35" t="s">
        <v>326</v>
      </c>
      <c r="Q6" s="31" t="n">
        <f aca="false">IF(OR($E6="",$N6=""),"",COUNTIFS(Register!$Q$5:$Q$304,$E6,Register!$B$5:$B$304,"&gt;"&amp;$N6))</f>
        <v>0</v>
      </c>
      <c r="R6" s="42" t="str">
        <f aca="true">IF($Q6="","Awaiting implementation",IF(TODAY()&lt;$O6,"Monitored until "&amp;TEXT($O6,"YYYY-MM-DD"),IF($Q6=0,"VERIFIED – cause eliminated","INEFFECTIVE – repeat analysis")))</f>
        <v>Monitored until 2026-08-16</v>
      </c>
      <c r="S6" s="37" t="n">
        <f aca="true">IF($E6="","",SUMIFS(Register!$AB$5:$AB$304,Register!$Q$5:$Q$304,$E6,Register!$B$5:$B$304,"&lt;"&amp;IF($N6="",TODAY(),$N6)))</f>
        <v>36</v>
      </c>
      <c r="T6" s="35" t="s">
        <v>319</v>
      </c>
    </row>
    <row r="7" customFormat="false" ht="30" hidden="false" customHeight="true" outlineLevel="0" collapsed="false">
      <c r="A7" s="33" t="s">
        <v>278</v>
      </c>
      <c r="B7" s="33" t="s">
        <v>327</v>
      </c>
      <c r="C7" s="32" t="n">
        <v>46188</v>
      </c>
      <c r="D7" s="35" t="s">
        <v>328</v>
      </c>
      <c r="E7" s="35" t="s">
        <v>145</v>
      </c>
      <c r="F7" s="33" t="s">
        <v>106</v>
      </c>
      <c r="G7" s="35" t="s">
        <v>329</v>
      </c>
      <c r="H7" s="35" t="s">
        <v>330</v>
      </c>
      <c r="I7" s="35" t="s">
        <v>331</v>
      </c>
      <c r="J7" s="35" t="s">
        <v>332</v>
      </c>
      <c r="K7" s="33" t="s">
        <v>149</v>
      </c>
      <c r="L7" s="32" t="n">
        <v>46238</v>
      </c>
      <c r="M7" s="33" t="s">
        <v>110</v>
      </c>
      <c r="N7" s="32"/>
      <c r="O7" s="41" t="str">
        <f aca="false">IF($N7="","",$N7+Settings!$C$27)</f>
        <v/>
      </c>
      <c r="P7" s="35" t="s">
        <v>333</v>
      </c>
      <c r="Q7" s="31" t="str">
        <f aca="false">IF(OR($E7="",$N7=""),"",COUNTIFS(Register!$Q$5:$Q$304,$E7,Register!$B$5:$B$304,"&gt;"&amp;$N7))</f>
        <v/>
      </c>
      <c r="R7" s="42" t="str">
        <f aca="true">IF($Q7="","Awaiting implementation",IF(TODAY()&lt;$O7,"Monitored until "&amp;TEXT($O7,"YYYY-MM-DD"),IF($Q7=0,"VERIFIED – cause eliminated","INEFFECTIVE – repeat analysis")))</f>
        <v>Awaiting implementation</v>
      </c>
      <c r="S7" s="37" t="n">
        <f aca="true">IF($E7="","",SUMIFS(Register!$AB$5:$AB$304,Register!$Q$5:$Q$304,$E7,Register!$B$5:$B$304,"&lt;"&amp;IF($N7="",TODAY(),$N7)))</f>
        <v>2966</v>
      </c>
      <c r="T7" s="35" t="s">
        <v>319</v>
      </c>
    </row>
    <row r="8" customFormat="false" ht="30" hidden="false" customHeight="true" outlineLevel="0" collapsed="false">
      <c r="A8" s="33" t="s">
        <v>289</v>
      </c>
      <c r="B8" s="33" t="s">
        <v>334</v>
      </c>
      <c r="C8" s="32" t="n">
        <v>46206</v>
      </c>
      <c r="D8" s="35" t="s">
        <v>335</v>
      </c>
      <c r="E8" s="35" t="s">
        <v>155</v>
      </c>
      <c r="F8" s="33" t="s">
        <v>120</v>
      </c>
      <c r="G8" s="35" t="s">
        <v>336</v>
      </c>
      <c r="H8" s="35" t="s">
        <v>288</v>
      </c>
      <c r="I8" s="35" t="s">
        <v>337</v>
      </c>
      <c r="J8" s="35" t="s">
        <v>338</v>
      </c>
      <c r="K8" s="33" t="s">
        <v>125</v>
      </c>
      <c r="L8" s="32" t="n">
        <v>46226</v>
      </c>
      <c r="M8" s="33" t="s">
        <v>124</v>
      </c>
      <c r="N8" s="32"/>
      <c r="O8" s="41" t="str">
        <f aca="false">IF($N8="","",$N8+Settings!$C$27)</f>
        <v/>
      </c>
      <c r="P8" s="35" t="s">
        <v>339</v>
      </c>
      <c r="Q8" s="31" t="str">
        <f aca="false">IF(OR($E8="",$N8=""),"",COUNTIFS(Register!$Q$5:$Q$304,$E8,Register!$B$5:$B$304,"&gt;"&amp;$N8))</f>
        <v/>
      </c>
      <c r="R8" s="42" t="str">
        <f aca="true">IF($Q8="","Awaiting implementation",IF(TODAY()&lt;$O8,"Monitored until "&amp;TEXT($O8,"YYYY-MM-DD"),IF($Q8=0,"VERIFIED – cause eliminated","INEFFECTIVE – repeat analysis")))</f>
        <v>Awaiting implementation</v>
      </c>
      <c r="S8" s="37" t="n">
        <f aca="true">IF($E8="","",SUMIFS(Register!$AB$5:$AB$304,Register!$Q$5:$Q$304,$E8,Register!$B$5:$B$304,"&lt;"&amp;IF($N8="",TODAY(),$N8)))</f>
        <v>24</v>
      </c>
      <c r="T8" s="35" t="s">
        <v>319</v>
      </c>
    </row>
    <row r="9" customFormat="false" ht="30" hidden="false" customHeight="true" outlineLevel="0" collapsed="false">
      <c r="A9" s="33"/>
      <c r="B9" s="33"/>
      <c r="C9" s="32"/>
      <c r="D9" s="35"/>
      <c r="E9" s="35"/>
      <c r="F9" s="33"/>
      <c r="G9" s="35"/>
      <c r="H9" s="35"/>
      <c r="I9" s="35"/>
      <c r="J9" s="35"/>
      <c r="K9" s="33"/>
      <c r="L9" s="32"/>
      <c r="M9" s="33"/>
      <c r="N9" s="32"/>
      <c r="O9" s="41" t="str">
        <f aca="false">IF($N9="","",$N9+Settings!$C$27)</f>
        <v/>
      </c>
      <c r="P9" s="35"/>
      <c r="Q9" s="31" t="str">
        <f aca="false">IF(OR($E9="",$N9=""),"",COUNTIFS(Register!$Q$5:$Q$304,$E9,Register!$B$5:$B$304,"&gt;"&amp;$N9))</f>
        <v/>
      </c>
      <c r="R9" s="42" t="str">
        <f aca="true">IF($Q9="","Awaiting implementation",IF(TODAY()&lt;$O9,"Monitored until "&amp;TEXT($O9,"YYYY-MM-DD"),IF($Q9=0,"VERIFIED – cause eliminated","INEFFECTIVE – repeat analysis")))</f>
        <v>Awaiting implementation</v>
      </c>
      <c r="S9" s="37" t="str">
        <f aca="true">IF($E9="","",SUMIFS(Register!$AB$5:$AB$304,Register!$Q$5:$Q$304,$E9,Register!$B$5:$B$304,"&lt;"&amp;IF($N9="",TODAY(),$N9)))</f>
        <v/>
      </c>
      <c r="T9" s="35"/>
    </row>
    <row r="10" customFormat="false" ht="30" hidden="false" customHeight="true" outlineLevel="0" collapsed="false">
      <c r="A10" s="33"/>
      <c r="B10" s="33"/>
      <c r="C10" s="32"/>
      <c r="D10" s="35"/>
      <c r="E10" s="35"/>
      <c r="F10" s="33"/>
      <c r="G10" s="35"/>
      <c r="H10" s="35"/>
      <c r="I10" s="35"/>
      <c r="J10" s="35"/>
      <c r="K10" s="33"/>
      <c r="L10" s="32"/>
      <c r="M10" s="33"/>
      <c r="N10" s="32"/>
      <c r="O10" s="41" t="str">
        <f aca="false">IF($N10="","",$N10+Settings!$C$27)</f>
        <v/>
      </c>
      <c r="P10" s="35"/>
      <c r="Q10" s="31" t="str">
        <f aca="false">IF(OR($E10="",$N10=""),"",COUNTIFS(Register!$Q$5:$Q$304,$E10,Register!$B$5:$B$304,"&gt;"&amp;$N10))</f>
        <v/>
      </c>
      <c r="R10" s="42" t="str">
        <f aca="true">IF($Q10="","Awaiting implementation",IF(TODAY()&lt;$O10,"Monitored until "&amp;TEXT($O10,"YYYY-MM-DD"),IF($Q10=0,"VERIFIED – cause eliminated","INEFFECTIVE – repeat analysis")))</f>
        <v>Awaiting implementation</v>
      </c>
      <c r="S10" s="37" t="str">
        <f aca="true">IF($E10="","",SUMIFS(Register!$AB$5:$AB$304,Register!$Q$5:$Q$304,$E10,Register!$B$5:$B$304,"&lt;"&amp;IF($N10="",TODAY(),$N10)))</f>
        <v/>
      </c>
      <c r="T10" s="35"/>
    </row>
    <row r="11" customFormat="false" ht="30" hidden="false" customHeight="true" outlineLevel="0" collapsed="false">
      <c r="A11" s="33"/>
      <c r="B11" s="33"/>
      <c r="C11" s="32"/>
      <c r="D11" s="35"/>
      <c r="E11" s="35"/>
      <c r="F11" s="33"/>
      <c r="G11" s="35"/>
      <c r="H11" s="35"/>
      <c r="I11" s="35"/>
      <c r="J11" s="35"/>
      <c r="K11" s="33"/>
      <c r="L11" s="32"/>
      <c r="M11" s="33"/>
      <c r="N11" s="32"/>
      <c r="O11" s="41" t="str">
        <f aca="false">IF($N11="","",$N11+Settings!$C$27)</f>
        <v/>
      </c>
      <c r="P11" s="35"/>
      <c r="Q11" s="31" t="str">
        <f aca="false">IF(OR($E11="",$N11=""),"",COUNTIFS(Register!$Q$5:$Q$304,$E11,Register!$B$5:$B$304,"&gt;"&amp;$N11))</f>
        <v/>
      </c>
      <c r="R11" s="42" t="str">
        <f aca="true">IF($Q11="","Awaiting implementation",IF(TODAY()&lt;$O11,"Monitored until "&amp;TEXT($O11,"YYYY-MM-DD"),IF($Q11=0,"VERIFIED – cause eliminated","INEFFECTIVE – repeat analysis")))</f>
        <v>Awaiting implementation</v>
      </c>
      <c r="S11" s="37" t="str">
        <f aca="true">IF($E11="","",SUMIFS(Register!$AB$5:$AB$304,Register!$Q$5:$Q$304,$E11,Register!$B$5:$B$304,"&lt;"&amp;IF($N11="",TODAY(),$N11)))</f>
        <v/>
      </c>
      <c r="T11" s="35"/>
    </row>
    <row r="12" customFormat="false" ht="30" hidden="false" customHeight="true" outlineLevel="0" collapsed="false">
      <c r="A12" s="33"/>
      <c r="B12" s="33"/>
      <c r="C12" s="32"/>
      <c r="D12" s="35"/>
      <c r="E12" s="35"/>
      <c r="F12" s="33"/>
      <c r="G12" s="35"/>
      <c r="H12" s="35"/>
      <c r="I12" s="35"/>
      <c r="J12" s="35"/>
      <c r="K12" s="33"/>
      <c r="L12" s="32"/>
      <c r="M12" s="33"/>
      <c r="N12" s="32"/>
      <c r="O12" s="41" t="str">
        <f aca="false">IF($N12="","",$N12+Settings!$C$27)</f>
        <v/>
      </c>
      <c r="P12" s="35"/>
      <c r="Q12" s="31" t="str">
        <f aca="false">IF(OR($E12="",$N12=""),"",COUNTIFS(Register!$Q$5:$Q$304,$E12,Register!$B$5:$B$304,"&gt;"&amp;$N12))</f>
        <v/>
      </c>
      <c r="R12" s="42" t="str">
        <f aca="true">IF($Q12="","Awaiting implementation",IF(TODAY()&lt;$O12,"Monitored until "&amp;TEXT($O12,"YYYY-MM-DD"),IF($Q12=0,"VERIFIED – cause eliminated","INEFFECTIVE – repeat analysis")))</f>
        <v>Awaiting implementation</v>
      </c>
      <c r="S12" s="37" t="str">
        <f aca="true">IF($E12="","",SUMIFS(Register!$AB$5:$AB$304,Register!$Q$5:$Q$304,$E12,Register!$B$5:$B$304,"&lt;"&amp;IF($N12="",TODAY(),$N12)))</f>
        <v/>
      </c>
      <c r="T12" s="35"/>
    </row>
    <row r="13" customFormat="false" ht="30" hidden="false" customHeight="true" outlineLevel="0" collapsed="false">
      <c r="A13" s="33"/>
      <c r="B13" s="33"/>
      <c r="C13" s="32"/>
      <c r="D13" s="35"/>
      <c r="E13" s="35"/>
      <c r="F13" s="33"/>
      <c r="G13" s="35"/>
      <c r="H13" s="35"/>
      <c r="I13" s="35"/>
      <c r="J13" s="35"/>
      <c r="K13" s="33"/>
      <c r="L13" s="32"/>
      <c r="M13" s="33"/>
      <c r="N13" s="32"/>
      <c r="O13" s="41" t="str">
        <f aca="false">IF($N13="","",$N13+Settings!$C$27)</f>
        <v/>
      </c>
      <c r="P13" s="35"/>
      <c r="Q13" s="31" t="str">
        <f aca="false">IF(OR($E13="",$N13=""),"",COUNTIFS(Register!$Q$5:$Q$304,$E13,Register!$B$5:$B$304,"&gt;"&amp;$N13))</f>
        <v/>
      </c>
      <c r="R13" s="42" t="str">
        <f aca="true">IF($Q13="","Awaiting implementation",IF(TODAY()&lt;$O13,"Monitored until "&amp;TEXT($O13,"YYYY-MM-DD"),IF($Q13=0,"VERIFIED – cause eliminated","INEFFECTIVE – repeat analysis")))</f>
        <v>Awaiting implementation</v>
      </c>
      <c r="S13" s="37" t="str">
        <f aca="true">IF($E13="","",SUMIFS(Register!$AB$5:$AB$304,Register!$Q$5:$Q$304,$E13,Register!$B$5:$B$304,"&lt;"&amp;IF($N13="",TODAY(),$N13)))</f>
        <v/>
      </c>
      <c r="T13" s="35"/>
    </row>
    <row r="14" customFormat="false" ht="30" hidden="false" customHeight="true" outlineLevel="0" collapsed="false">
      <c r="A14" s="33"/>
      <c r="B14" s="33"/>
      <c r="C14" s="32"/>
      <c r="D14" s="35"/>
      <c r="E14" s="35"/>
      <c r="F14" s="33"/>
      <c r="G14" s="35"/>
      <c r="H14" s="35"/>
      <c r="I14" s="35"/>
      <c r="J14" s="35"/>
      <c r="K14" s="33"/>
      <c r="L14" s="32"/>
      <c r="M14" s="33"/>
      <c r="N14" s="32"/>
      <c r="O14" s="41" t="str">
        <f aca="false">IF($N14="","",$N14+Settings!$C$27)</f>
        <v/>
      </c>
      <c r="P14" s="35"/>
      <c r="Q14" s="31" t="str">
        <f aca="false">IF(OR($E14="",$N14=""),"",COUNTIFS(Register!$Q$5:$Q$304,$E14,Register!$B$5:$B$304,"&gt;"&amp;$N14))</f>
        <v/>
      </c>
      <c r="R14" s="42" t="str">
        <f aca="true">IF($Q14="","Awaiting implementation",IF(TODAY()&lt;$O14,"Monitored until "&amp;TEXT($O14,"YYYY-MM-DD"),IF($Q14=0,"VERIFIED – cause eliminated","INEFFECTIVE – repeat analysis")))</f>
        <v>Awaiting implementation</v>
      </c>
      <c r="S14" s="37" t="str">
        <f aca="true">IF($E14="","",SUMIFS(Register!$AB$5:$AB$304,Register!$Q$5:$Q$304,$E14,Register!$B$5:$B$304,"&lt;"&amp;IF($N14="",TODAY(),$N14)))</f>
        <v/>
      </c>
      <c r="T14" s="35"/>
    </row>
    <row r="15" customFormat="false" ht="30" hidden="false" customHeight="true" outlineLevel="0" collapsed="false">
      <c r="A15" s="33"/>
      <c r="B15" s="33"/>
      <c r="C15" s="32"/>
      <c r="D15" s="35"/>
      <c r="E15" s="35"/>
      <c r="F15" s="33"/>
      <c r="G15" s="35"/>
      <c r="H15" s="35"/>
      <c r="I15" s="35"/>
      <c r="J15" s="35"/>
      <c r="K15" s="33"/>
      <c r="L15" s="32"/>
      <c r="M15" s="33"/>
      <c r="N15" s="32"/>
      <c r="O15" s="41" t="str">
        <f aca="false">IF($N15="","",$N15+Settings!$C$27)</f>
        <v/>
      </c>
      <c r="P15" s="35"/>
      <c r="Q15" s="31" t="str">
        <f aca="false">IF(OR($E15="",$N15=""),"",COUNTIFS(Register!$Q$5:$Q$304,$E15,Register!$B$5:$B$304,"&gt;"&amp;$N15))</f>
        <v/>
      </c>
      <c r="R15" s="42" t="str">
        <f aca="true">IF($Q15="","Awaiting implementation",IF(TODAY()&lt;$O15,"Monitored until "&amp;TEXT($O15,"YYYY-MM-DD"),IF($Q15=0,"VERIFIED – cause eliminated","INEFFECTIVE – repeat analysis")))</f>
        <v>Awaiting implementation</v>
      </c>
      <c r="S15" s="37" t="str">
        <f aca="true">IF($E15="","",SUMIFS(Register!$AB$5:$AB$304,Register!$Q$5:$Q$304,$E15,Register!$B$5:$B$304,"&lt;"&amp;IF($N15="",TODAY(),$N15)))</f>
        <v/>
      </c>
      <c r="T15" s="35"/>
    </row>
    <row r="16" customFormat="false" ht="30" hidden="false" customHeight="true" outlineLevel="0" collapsed="false">
      <c r="A16" s="33"/>
      <c r="B16" s="33"/>
      <c r="C16" s="32"/>
      <c r="D16" s="35"/>
      <c r="E16" s="35"/>
      <c r="F16" s="33"/>
      <c r="G16" s="35"/>
      <c r="H16" s="35"/>
      <c r="I16" s="35"/>
      <c r="J16" s="35"/>
      <c r="K16" s="33"/>
      <c r="L16" s="32"/>
      <c r="M16" s="33"/>
      <c r="N16" s="32"/>
      <c r="O16" s="41" t="str">
        <f aca="false">IF($N16="","",$N16+Settings!$C$27)</f>
        <v/>
      </c>
      <c r="P16" s="35"/>
      <c r="Q16" s="31" t="str">
        <f aca="false">IF(OR($E16="",$N16=""),"",COUNTIFS(Register!$Q$5:$Q$304,$E16,Register!$B$5:$B$304,"&gt;"&amp;$N16))</f>
        <v/>
      </c>
      <c r="R16" s="42" t="str">
        <f aca="true">IF($Q16="","Awaiting implementation",IF(TODAY()&lt;$O16,"Monitored until "&amp;TEXT($O16,"YYYY-MM-DD"),IF($Q16=0,"VERIFIED – cause eliminated","INEFFECTIVE – repeat analysis")))</f>
        <v>Awaiting implementation</v>
      </c>
      <c r="S16" s="37" t="str">
        <f aca="true">IF($E16="","",SUMIFS(Register!$AB$5:$AB$304,Register!$Q$5:$Q$304,$E16,Register!$B$5:$B$304,"&lt;"&amp;IF($N16="",TODAY(),$N16)))</f>
        <v/>
      </c>
      <c r="T16" s="35"/>
    </row>
    <row r="17" customFormat="false" ht="30" hidden="false" customHeight="true" outlineLevel="0" collapsed="false">
      <c r="A17" s="33"/>
      <c r="B17" s="33"/>
      <c r="C17" s="32"/>
      <c r="D17" s="35"/>
      <c r="E17" s="35"/>
      <c r="F17" s="33"/>
      <c r="G17" s="35"/>
      <c r="H17" s="35"/>
      <c r="I17" s="35"/>
      <c r="J17" s="35"/>
      <c r="K17" s="33"/>
      <c r="L17" s="32"/>
      <c r="M17" s="33"/>
      <c r="N17" s="32"/>
      <c r="O17" s="41" t="str">
        <f aca="false">IF($N17="","",$N17+Settings!$C$27)</f>
        <v/>
      </c>
      <c r="P17" s="35"/>
      <c r="Q17" s="31" t="str">
        <f aca="false">IF(OR($E17="",$N17=""),"",COUNTIFS(Register!$Q$5:$Q$304,$E17,Register!$B$5:$B$304,"&gt;"&amp;$N17))</f>
        <v/>
      </c>
      <c r="R17" s="42" t="str">
        <f aca="true">IF($Q17="","Awaiting implementation",IF(TODAY()&lt;$O17,"Monitored until "&amp;TEXT($O17,"YYYY-MM-DD"),IF($Q17=0,"VERIFIED – cause eliminated","INEFFECTIVE – repeat analysis")))</f>
        <v>Awaiting implementation</v>
      </c>
      <c r="S17" s="37" t="str">
        <f aca="true">IF($E17="","",SUMIFS(Register!$AB$5:$AB$304,Register!$Q$5:$Q$304,$E17,Register!$B$5:$B$304,"&lt;"&amp;IF($N17="",TODAY(),$N17)))</f>
        <v/>
      </c>
      <c r="T17" s="35"/>
    </row>
    <row r="18" customFormat="false" ht="30" hidden="false" customHeight="true" outlineLevel="0" collapsed="false">
      <c r="A18" s="33"/>
      <c r="B18" s="33"/>
      <c r="C18" s="32"/>
      <c r="D18" s="35"/>
      <c r="E18" s="35"/>
      <c r="F18" s="33"/>
      <c r="G18" s="35"/>
      <c r="H18" s="35"/>
      <c r="I18" s="35"/>
      <c r="J18" s="35"/>
      <c r="K18" s="33"/>
      <c r="L18" s="32"/>
      <c r="M18" s="33"/>
      <c r="N18" s="32"/>
      <c r="O18" s="41" t="str">
        <f aca="false">IF($N18="","",$N18+Settings!$C$27)</f>
        <v/>
      </c>
      <c r="P18" s="35"/>
      <c r="Q18" s="31" t="str">
        <f aca="false">IF(OR($E18="",$N18=""),"",COUNTIFS(Register!$Q$5:$Q$304,$E18,Register!$B$5:$B$304,"&gt;"&amp;$N18))</f>
        <v/>
      </c>
      <c r="R18" s="42" t="str">
        <f aca="true">IF($Q18="","Awaiting implementation",IF(TODAY()&lt;$O18,"Monitored until "&amp;TEXT($O18,"YYYY-MM-DD"),IF($Q18=0,"VERIFIED – cause eliminated","INEFFECTIVE – repeat analysis")))</f>
        <v>Awaiting implementation</v>
      </c>
      <c r="S18" s="37" t="str">
        <f aca="true">IF($E18="","",SUMIFS(Register!$AB$5:$AB$304,Register!$Q$5:$Q$304,$E18,Register!$B$5:$B$304,"&lt;"&amp;IF($N18="",TODAY(),$N18)))</f>
        <v/>
      </c>
      <c r="T18" s="35"/>
    </row>
    <row r="19" customFormat="false" ht="30" hidden="false" customHeight="true" outlineLevel="0" collapsed="false">
      <c r="A19" s="33"/>
      <c r="B19" s="33"/>
      <c r="C19" s="32"/>
      <c r="D19" s="35"/>
      <c r="E19" s="35"/>
      <c r="F19" s="33"/>
      <c r="G19" s="35"/>
      <c r="H19" s="35"/>
      <c r="I19" s="35"/>
      <c r="J19" s="35"/>
      <c r="K19" s="33"/>
      <c r="L19" s="32"/>
      <c r="M19" s="33"/>
      <c r="N19" s="32"/>
      <c r="O19" s="41" t="str">
        <f aca="false">IF($N19="","",$N19+Settings!$C$27)</f>
        <v/>
      </c>
      <c r="P19" s="35"/>
      <c r="Q19" s="31" t="str">
        <f aca="false">IF(OR($E19="",$N19=""),"",COUNTIFS(Register!$Q$5:$Q$304,$E19,Register!$B$5:$B$304,"&gt;"&amp;$N19))</f>
        <v/>
      </c>
      <c r="R19" s="42" t="str">
        <f aca="true">IF($Q19="","Awaiting implementation",IF(TODAY()&lt;$O19,"Monitored until "&amp;TEXT($O19,"YYYY-MM-DD"),IF($Q19=0,"VERIFIED – cause eliminated","INEFFECTIVE – repeat analysis")))</f>
        <v>Awaiting implementation</v>
      </c>
      <c r="S19" s="37" t="str">
        <f aca="true">IF($E19="","",SUMIFS(Register!$AB$5:$AB$304,Register!$Q$5:$Q$304,$E19,Register!$B$5:$B$304,"&lt;"&amp;IF($N19="",TODAY(),$N19)))</f>
        <v/>
      </c>
      <c r="T19" s="35"/>
    </row>
    <row r="20" customFormat="false" ht="30" hidden="false" customHeight="true" outlineLevel="0" collapsed="false">
      <c r="A20" s="33"/>
      <c r="B20" s="33"/>
      <c r="C20" s="32"/>
      <c r="D20" s="35"/>
      <c r="E20" s="35"/>
      <c r="F20" s="33"/>
      <c r="G20" s="35"/>
      <c r="H20" s="35"/>
      <c r="I20" s="35"/>
      <c r="J20" s="35"/>
      <c r="K20" s="33"/>
      <c r="L20" s="32"/>
      <c r="M20" s="33"/>
      <c r="N20" s="32"/>
      <c r="O20" s="41" t="str">
        <f aca="false">IF($N20="","",$N20+Settings!$C$27)</f>
        <v/>
      </c>
      <c r="P20" s="35"/>
      <c r="Q20" s="31" t="str">
        <f aca="false">IF(OR($E20="",$N20=""),"",COUNTIFS(Register!$Q$5:$Q$304,$E20,Register!$B$5:$B$304,"&gt;"&amp;$N20))</f>
        <v/>
      </c>
      <c r="R20" s="42" t="str">
        <f aca="true">IF($Q20="","Awaiting implementation",IF(TODAY()&lt;$O20,"Monitored until "&amp;TEXT($O20,"YYYY-MM-DD"),IF($Q20=0,"VERIFIED – cause eliminated","INEFFECTIVE – repeat analysis")))</f>
        <v>Awaiting implementation</v>
      </c>
      <c r="S20" s="37" t="str">
        <f aca="true">IF($E20="","",SUMIFS(Register!$AB$5:$AB$304,Register!$Q$5:$Q$304,$E20,Register!$B$5:$B$304,"&lt;"&amp;IF($N20="",TODAY(),$N20)))</f>
        <v/>
      </c>
      <c r="T20" s="35"/>
    </row>
    <row r="21" customFormat="false" ht="30" hidden="false" customHeight="true" outlineLevel="0" collapsed="false">
      <c r="A21" s="33"/>
      <c r="B21" s="33"/>
      <c r="C21" s="32"/>
      <c r="D21" s="35"/>
      <c r="E21" s="35"/>
      <c r="F21" s="33"/>
      <c r="G21" s="35"/>
      <c r="H21" s="35"/>
      <c r="I21" s="35"/>
      <c r="J21" s="35"/>
      <c r="K21" s="33"/>
      <c r="L21" s="32"/>
      <c r="M21" s="33"/>
      <c r="N21" s="32"/>
      <c r="O21" s="41" t="str">
        <f aca="false">IF($N21="","",$N21+Settings!$C$27)</f>
        <v/>
      </c>
      <c r="P21" s="35"/>
      <c r="Q21" s="31" t="str">
        <f aca="false">IF(OR($E21="",$N21=""),"",COUNTIFS(Register!$Q$5:$Q$304,$E21,Register!$B$5:$B$304,"&gt;"&amp;$N21))</f>
        <v/>
      </c>
      <c r="R21" s="42" t="str">
        <f aca="true">IF($Q21="","Awaiting implementation",IF(TODAY()&lt;$O21,"Monitored until "&amp;TEXT($O21,"YYYY-MM-DD"),IF($Q21=0,"VERIFIED – cause eliminated","INEFFECTIVE – repeat analysis")))</f>
        <v>Awaiting implementation</v>
      </c>
      <c r="S21" s="37" t="str">
        <f aca="true">IF($E21="","",SUMIFS(Register!$AB$5:$AB$304,Register!$Q$5:$Q$304,$E21,Register!$B$5:$B$304,"&lt;"&amp;IF($N21="",TODAY(),$N21)))</f>
        <v/>
      </c>
      <c r="T21" s="35"/>
    </row>
    <row r="22" customFormat="false" ht="30" hidden="false" customHeight="true" outlineLevel="0" collapsed="false">
      <c r="A22" s="33"/>
      <c r="B22" s="33"/>
      <c r="C22" s="32"/>
      <c r="D22" s="35"/>
      <c r="E22" s="35"/>
      <c r="F22" s="33"/>
      <c r="G22" s="35"/>
      <c r="H22" s="35"/>
      <c r="I22" s="35"/>
      <c r="J22" s="35"/>
      <c r="K22" s="33"/>
      <c r="L22" s="32"/>
      <c r="M22" s="33"/>
      <c r="N22" s="32"/>
      <c r="O22" s="41" t="str">
        <f aca="false">IF($N22="","",$N22+Settings!$C$27)</f>
        <v/>
      </c>
      <c r="P22" s="35"/>
      <c r="Q22" s="31" t="str">
        <f aca="false">IF(OR($E22="",$N22=""),"",COUNTIFS(Register!$Q$5:$Q$304,$E22,Register!$B$5:$B$304,"&gt;"&amp;$N22))</f>
        <v/>
      </c>
      <c r="R22" s="42" t="str">
        <f aca="true">IF($Q22="","Awaiting implementation",IF(TODAY()&lt;$O22,"Monitored until "&amp;TEXT($O22,"YYYY-MM-DD"),IF($Q22=0,"VERIFIED – cause eliminated","INEFFECTIVE – repeat analysis")))</f>
        <v>Awaiting implementation</v>
      </c>
      <c r="S22" s="37" t="str">
        <f aca="true">IF($E22="","",SUMIFS(Register!$AB$5:$AB$304,Register!$Q$5:$Q$304,$E22,Register!$B$5:$B$304,"&lt;"&amp;IF($N22="",TODAY(),$N22)))</f>
        <v/>
      </c>
      <c r="T22" s="35"/>
    </row>
    <row r="23" customFormat="false" ht="30" hidden="false" customHeight="true" outlineLevel="0" collapsed="false">
      <c r="A23" s="33"/>
      <c r="B23" s="33"/>
      <c r="C23" s="32"/>
      <c r="D23" s="35"/>
      <c r="E23" s="35"/>
      <c r="F23" s="33"/>
      <c r="G23" s="35"/>
      <c r="H23" s="35"/>
      <c r="I23" s="35"/>
      <c r="J23" s="35"/>
      <c r="K23" s="33"/>
      <c r="L23" s="32"/>
      <c r="M23" s="33"/>
      <c r="N23" s="32"/>
      <c r="O23" s="41" t="str">
        <f aca="false">IF($N23="","",$N23+Settings!$C$27)</f>
        <v/>
      </c>
      <c r="P23" s="35"/>
      <c r="Q23" s="31" t="str">
        <f aca="false">IF(OR($E23="",$N23=""),"",COUNTIFS(Register!$Q$5:$Q$304,$E23,Register!$B$5:$B$304,"&gt;"&amp;$N23))</f>
        <v/>
      </c>
      <c r="R23" s="42" t="str">
        <f aca="true">IF($Q23="","Awaiting implementation",IF(TODAY()&lt;$O23,"Monitored until "&amp;TEXT($O23,"YYYY-MM-DD"),IF($Q23=0,"VERIFIED – cause eliminated","INEFFECTIVE – repeat analysis")))</f>
        <v>Awaiting implementation</v>
      </c>
      <c r="S23" s="37" t="str">
        <f aca="true">IF($E23="","",SUMIFS(Register!$AB$5:$AB$304,Register!$Q$5:$Q$304,$E23,Register!$B$5:$B$304,"&lt;"&amp;IF($N23="",TODAY(),$N23)))</f>
        <v/>
      </c>
      <c r="T23" s="35"/>
    </row>
    <row r="24" customFormat="false" ht="30" hidden="false" customHeight="true" outlineLevel="0" collapsed="false">
      <c r="A24" s="33"/>
      <c r="B24" s="33"/>
      <c r="C24" s="32"/>
      <c r="D24" s="35"/>
      <c r="E24" s="35"/>
      <c r="F24" s="33"/>
      <c r="G24" s="35"/>
      <c r="H24" s="35"/>
      <c r="I24" s="35"/>
      <c r="J24" s="35"/>
      <c r="K24" s="33"/>
      <c r="L24" s="32"/>
      <c r="M24" s="33"/>
      <c r="N24" s="32"/>
      <c r="O24" s="41" t="str">
        <f aca="false">IF($N24="","",$N24+Settings!$C$27)</f>
        <v/>
      </c>
      <c r="P24" s="35"/>
      <c r="Q24" s="31" t="str">
        <f aca="false">IF(OR($E24="",$N24=""),"",COUNTIFS(Register!$Q$5:$Q$304,$E24,Register!$B$5:$B$304,"&gt;"&amp;$N24))</f>
        <v/>
      </c>
      <c r="R24" s="42" t="str">
        <f aca="true">IF($Q24="","Awaiting implementation",IF(TODAY()&lt;$O24,"Monitored until "&amp;TEXT($O24,"YYYY-MM-DD"),IF($Q24=0,"VERIFIED – cause eliminated","INEFFECTIVE – repeat analysis")))</f>
        <v>Awaiting implementation</v>
      </c>
      <c r="S24" s="37" t="str">
        <f aca="true">IF($E24="","",SUMIFS(Register!$AB$5:$AB$304,Register!$Q$5:$Q$304,$E24,Register!$B$5:$B$304,"&lt;"&amp;IF($N24="",TODAY(),$N24)))</f>
        <v/>
      </c>
      <c r="T24" s="35"/>
    </row>
    <row r="25" customFormat="false" ht="30" hidden="false" customHeight="true" outlineLevel="0" collapsed="false">
      <c r="A25" s="33"/>
      <c r="B25" s="33"/>
      <c r="C25" s="32"/>
      <c r="D25" s="35"/>
      <c r="E25" s="35"/>
      <c r="F25" s="33"/>
      <c r="G25" s="35"/>
      <c r="H25" s="35"/>
      <c r="I25" s="35"/>
      <c r="J25" s="35"/>
      <c r="K25" s="33"/>
      <c r="L25" s="32"/>
      <c r="M25" s="33"/>
      <c r="N25" s="32"/>
      <c r="O25" s="41" t="str">
        <f aca="false">IF($N25="","",$N25+Settings!$C$27)</f>
        <v/>
      </c>
      <c r="P25" s="35"/>
      <c r="Q25" s="31" t="str">
        <f aca="false">IF(OR($E25="",$N25=""),"",COUNTIFS(Register!$Q$5:$Q$304,$E25,Register!$B$5:$B$304,"&gt;"&amp;$N25))</f>
        <v/>
      </c>
      <c r="R25" s="42" t="str">
        <f aca="true">IF($Q25="","Awaiting implementation",IF(TODAY()&lt;$O25,"Monitored until "&amp;TEXT($O25,"YYYY-MM-DD"),IF($Q25=0,"VERIFIED – cause eliminated","INEFFECTIVE – repeat analysis")))</f>
        <v>Awaiting implementation</v>
      </c>
      <c r="S25" s="37" t="str">
        <f aca="true">IF($E25="","",SUMIFS(Register!$AB$5:$AB$304,Register!$Q$5:$Q$304,$E25,Register!$B$5:$B$304,"&lt;"&amp;IF($N25="",TODAY(),$N25)))</f>
        <v/>
      </c>
      <c r="T25" s="35"/>
    </row>
    <row r="26" customFormat="false" ht="30" hidden="false" customHeight="true" outlineLevel="0" collapsed="false">
      <c r="A26" s="33"/>
      <c r="B26" s="33"/>
      <c r="C26" s="32"/>
      <c r="D26" s="35"/>
      <c r="E26" s="35"/>
      <c r="F26" s="33"/>
      <c r="G26" s="35"/>
      <c r="H26" s="35"/>
      <c r="I26" s="35"/>
      <c r="J26" s="35"/>
      <c r="K26" s="33"/>
      <c r="L26" s="32"/>
      <c r="M26" s="33"/>
      <c r="N26" s="32"/>
      <c r="O26" s="41" t="str">
        <f aca="false">IF($N26="","",$N26+Settings!$C$27)</f>
        <v/>
      </c>
      <c r="P26" s="35"/>
      <c r="Q26" s="31" t="str">
        <f aca="false">IF(OR($E26="",$N26=""),"",COUNTIFS(Register!$Q$5:$Q$304,$E26,Register!$B$5:$B$304,"&gt;"&amp;$N26))</f>
        <v/>
      </c>
      <c r="R26" s="42" t="str">
        <f aca="true">IF($Q26="","Awaiting implementation",IF(TODAY()&lt;$O26,"Monitored until "&amp;TEXT($O26,"YYYY-MM-DD"),IF($Q26=0,"VERIFIED – cause eliminated","INEFFECTIVE – repeat analysis")))</f>
        <v>Awaiting implementation</v>
      </c>
      <c r="S26" s="37" t="str">
        <f aca="true">IF($E26="","",SUMIFS(Register!$AB$5:$AB$304,Register!$Q$5:$Q$304,$E26,Register!$B$5:$B$304,"&lt;"&amp;IF($N26="",TODAY(),$N26)))</f>
        <v/>
      </c>
      <c r="T26" s="35"/>
    </row>
    <row r="27" customFormat="false" ht="30" hidden="false" customHeight="true" outlineLevel="0" collapsed="false">
      <c r="A27" s="33"/>
      <c r="B27" s="33"/>
      <c r="C27" s="32"/>
      <c r="D27" s="35"/>
      <c r="E27" s="35"/>
      <c r="F27" s="33"/>
      <c r="G27" s="35"/>
      <c r="H27" s="35"/>
      <c r="I27" s="35"/>
      <c r="J27" s="35"/>
      <c r="K27" s="33"/>
      <c r="L27" s="32"/>
      <c r="M27" s="33"/>
      <c r="N27" s="32"/>
      <c r="O27" s="41" t="str">
        <f aca="false">IF($N27="","",$N27+Settings!$C$27)</f>
        <v/>
      </c>
      <c r="P27" s="35"/>
      <c r="Q27" s="31" t="str">
        <f aca="false">IF(OR($E27="",$N27=""),"",COUNTIFS(Register!$Q$5:$Q$304,$E27,Register!$B$5:$B$304,"&gt;"&amp;$N27))</f>
        <v/>
      </c>
      <c r="R27" s="42" t="str">
        <f aca="true">IF($Q27="","Awaiting implementation",IF(TODAY()&lt;$O27,"Monitored until "&amp;TEXT($O27,"YYYY-MM-DD"),IF($Q27=0,"VERIFIED – cause eliminated","INEFFECTIVE – repeat analysis")))</f>
        <v>Awaiting implementation</v>
      </c>
      <c r="S27" s="37" t="str">
        <f aca="true">IF($E27="","",SUMIFS(Register!$AB$5:$AB$304,Register!$Q$5:$Q$304,$E27,Register!$B$5:$B$304,"&lt;"&amp;IF($N27="",TODAY(),$N27)))</f>
        <v/>
      </c>
      <c r="T27" s="35"/>
    </row>
    <row r="28" customFormat="false" ht="30" hidden="false" customHeight="true" outlineLevel="0" collapsed="false">
      <c r="A28" s="33"/>
      <c r="B28" s="33"/>
      <c r="C28" s="32"/>
      <c r="D28" s="35"/>
      <c r="E28" s="35"/>
      <c r="F28" s="33"/>
      <c r="G28" s="35"/>
      <c r="H28" s="35"/>
      <c r="I28" s="35"/>
      <c r="J28" s="35"/>
      <c r="K28" s="33"/>
      <c r="L28" s="32"/>
      <c r="M28" s="33"/>
      <c r="N28" s="32"/>
      <c r="O28" s="41" t="str">
        <f aca="false">IF($N28="","",$N28+Settings!$C$27)</f>
        <v/>
      </c>
      <c r="P28" s="35"/>
      <c r="Q28" s="31" t="str">
        <f aca="false">IF(OR($E28="",$N28=""),"",COUNTIFS(Register!$Q$5:$Q$304,$E28,Register!$B$5:$B$304,"&gt;"&amp;$N28))</f>
        <v/>
      </c>
      <c r="R28" s="42" t="str">
        <f aca="true">IF($Q28="","Awaiting implementation",IF(TODAY()&lt;$O28,"Monitored until "&amp;TEXT($O28,"YYYY-MM-DD"),IF($Q28=0,"VERIFIED – cause eliminated","INEFFECTIVE – repeat analysis")))</f>
        <v>Awaiting implementation</v>
      </c>
      <c r="S28" s="37" t="str">
        <f aca="true">IF($E28="","",SUMIFS(Register!$AB$5:$AB$304,Register!$Q$5:$Q$304,$E28,Register!$B$5:$B$304,"&lt;"&amp;IF($N28="",TODAY(),$N28)))</f>
        <v/>
      </c>
      <c r="T28" s="35"/>
    </row>
    <row r="29" customFormat="false" ht="30" hidden="false" customHeight="true" outlineLevel="0" collapsed="false">
      <c r="A29" s="33"/>
      <c r="B29" s="33"/>
      <c r="C29" s="32"/>
      <c r="D29" s="35"/>
      <c r="E29" s="35"/>
      <c r="F29" s="33"/>
      <c r="G29" s="35"/>
      <c r="H29" s="35"/>
      <c r="I29" s="35"/>
      <c r="J29" s="35"/>
      <c r="K29" s="33"/>
      <c r="L29" s="32"/>
      <c r="M29" s="33"/>
      <c r="N29" s="32"/>
      <c r="O29" s="41" t="str">
        <f aca="false">IF($N29="","",$N29+Settings!$C$27)</f>
        <v/>
      </c>
      <c r="P29" s="35"/>
      <c r="Q29" s="31" t="str">
        <f aca="false">IF(OR($E29="",$N29=""),"",COUNTIFS(Register!$Q$5:$Q$304,$E29,Register!$B$5:$B$304,"&gt;"&amp;$N29))</f>
        <v/>
      </c>
      <c r="R29" s="42" t="str">
        <f aca="true">IF($Q29="","Awaiting implementation",IF(TODAY()&lt;$O29,"Monitored until "&amp;TEXT($O29,"YYYY-MM-DD"),IF($Q29=0,"VERIFIED – cause eliminated","INEFFECTIVE – repeat analysis")))</f>
        <v>Awaiting implementation</v>
      </c>
      <c r="S29" s="37" t="str">
        <f aca="true">IF($E29="","",SUMIFS(Register!$AB$5:$AB$304,Register!$Q$5:$Q$304,$E29,Register!$B$5:$B$304,"&lt;"&amp;IF($N29="",TODAY(),$N29)))</f>
        <v/>
      </c>
      <c r="T29" s="35"/>
    </row>
    <row r="30" customFormat="false" ht="30" hidden="false" customHeight="true" outlineLevel="0" collapsed="false">
      <c r="A30" s="33"/>
      <c r="B30" s="33"/>
      <c r="C30" s="32"/>
      <c r="D30" s="35"/>
      <c r="E30" s="35"/>
      <c r="F30" s="33"/>
      <c r="G30" s="35"/>
      <c r="H30" s="35"/>
      <c r="I30" s="35"/>
      <c r="J30" s="35"/>
      <c r="K30" s="33"/>
      <c r="L30" s="32"/>
      <c r="M30" s="33"/>
      <c r="N30" s="32"/>
      <c r="O30" s="41" t="str">
        <f aca="false">IF($N30="","",$N30+Settings!$C$27)</f>
        <v/>
      </c>
      <c r="P30" s="35"/>
      <c r="Q30" s="31" t="str">
        <f aca="false">IF(OR($E30="",$N30=""),"",COUNTIFS(Register!$Q$5:$Q$304,$E30,Register!$B$5:$B$304,"&gt;"&amp;$N30))</f>
        <v/>
      </c>
      <c r="R30" s="42" t="str">
        <f aca="true">IF($Q30="","Awaiting implementation",IF(TODAY()&lt;$O30,"Monitored until "&amp;TEXT($O30,"YYYY-MM-DD"),IF($Q30=0,"VERIFIED – cause eliminated","INEFFECTIVE – repeat analysis")))</f>
        <v>Awaiting implementation</v>
      </c>
      <c r="S30" s="37" t="str">
        <f aca="true">IF($E30="","",SUMIFS(Register!$AB$5:$AB$304,Register!$Q$5:$Q$304,$E30,Register!$B$5:$B$304,"&lt;"&amp;IF($N30="",TODAY(),$N30)))</f>
        <v/>
      </c>
      <c r="T30" s="35"/>
    </row>
    <row r="31" customFormat="false" ht="30" hidden="false" customHeight="true" outlineLevel="0" collapsed="false">
      <c r="A31" s="33"/>
      <c r="B31" s="33"/>
      <c r="C31" s="32"/>
      <c r="D31" s="35"/>
      <c r="E31" s="35"/>
      <c r="F31" s="33"/>
      <c r="G31" s="35"/>
      <c r="H31" s="35"/>
      <c r="I31" s="35"/>
      <c r="J31" s="35"/>
      <c r="K31" s="33"/>
      <c r="L31" s="32"/>
      <c r="M31" s="33"/>
      <c r="N31" s="32"/>
      <c r="O31" s="41" t="str">
        <f aca="false">IF($N31="","",$N31+Settings!$C$27)</f>
        <v/>
      </c>
      <c r="P31" s="35"/>
      <c r="Q31" s="31" t="str">
        <f aca="false">IF(OR($E31="",$N31=""),"",COUNTIFS(Register!$Q$5:$Q$304,$E31,Register!$B$5:$B$304,"&gt;"&amp;$N31))</f>
        <v/>
      </c>
      <c r="R31" s="42" t="str">
        <f aca="true">IF($Q31="","Awaiting implementation",IF(TODAY()&lt;$O31,"Monitored until "&amp;TEXT($O31,"YYYY-MM-DD"),IF($Q31=0,"VERIFIED – cause eliminated","INEFFECTIVE – repeat analysis")))</f>
        <v>Awaiting implementation</v>
      </c>
      <c r="S31" s="37" t="str">
        <f aca="true">IF($E31="","",SUMIFS(Register!$AB$5:$AB$304,Register!$Q$5:$Q$304,$E31,Register!$B$5:$B$304,"&lt;"&amp;IF($N31="",TODAY(),$N31)))</f>
        <v/>
      </c>
      <c r="T31" s="35"/>
    </row>
    <row r="32" customFormat="false" ht="30" hidden="false" customHeight="true" outlineLevel="0" collapsed="false">
      <c r="A32" s="33"/>
      <c r="B32" s="33"/>
      <c r="C32" s="32"/>
      <c r="D32" s="35"/>
      <c r="E32" s="35"/>
      <c r="F32" s="33"/>
      <c r="G32" s="35"/>
      <c r="H32" s="35"/>
      <c r="I32" s="35"/>
      <c r="J32" s="35"/>
      <c r="K32" s="33"/>
      <c r="L32" s="32"/>
      <c r="M32" s="33"/>
      <c r="N32" s="32"/>
      <c r="O32" s="41" t="str">
        <f aca="false">IF($N32="","",$N32+Settings!$C$27)</f>
        <v/>
      </c>
      <c r="P32" s="35"/>
      <c r="Q32" s="31" t="str">
        <f aca="false">IF(OR($E32="",$N32=""),"",COUNTIFS(Register!$Q$5:$Q$304,$E32,Register!$B$5:$B$304,"&gt;"&amp;$N32))</f>
        <v/>
      </c>
      <c r="R32" s="42" t="str">
        <f aca="true">IF($Q32="","Awaiting implementation",IF(TODAY()&lt;$O32,"Monitored until "&amp;TEXT($O32,"YYYY-MM-DD"),IF($Q32=0,"VERIFIED – cause eliminated","INEFFECTIVE – repeat analysis")))</f>
        <v>Awaiting implementation</v>
      </c>
      <c r="S32" s="37" t="str">
        <f aca="true">IF($E32="","",SUMIFS(Register!$AB$5:$AB$304,Register!$Q$5:$Q$304,$E32,Register!$B$5:$B$304,"&lt;"&amp;IF($N32="",TODAY(),$N32)))</f>
        <v/>
      </c>
      <c r="T32" s="35"/>
    </row>
    <row r="33" customFormat="false" ht="30" hidden="false" customHeight="true" outlineLevel="0" collapsed="false">
      <c r="A33" s="33"/>
      <c r="B33" s="33"/>
      <c r="C33" s="32"/>
      <c r="D33" s="35"/>
      <c r="E33" s="35"/>
      <c r="F33" s="33"/>
      <c r="G33" s="35"/>
      <c r="H33" s="35"/>
      <c r="I33" s="35"/>
      <c r="J33" s="35"/>
      <c r="K33" s="33"/>
      <c r="L33" s="32"/>
      <c r="M33" s="33"/>
      <c r="N33" s="32"/>
      <c r="O33" s="41" t="str">
        <f aca="false">IF($N33="","",$N33+Settings!$C$27)</f>
        <v/>
      </c>
      <c r="P33" s="35"/>
      <c r="Q33" s="31" t="str">
        <f aca="false">IF(OR($E33="",$N33=""),"",COUNTIFS(Register!$Q$5:$Q$304,$E33,Register!$B$5:$B$304,"&gt;"&amp;$N33))</f>
        <v/>
      </c>
      <c r="R33" s="42" t="str">
        <f aca="true">IF($Q33="","Awaiting implementation",IF(TODAY()&lt;$O33,"Monitored until "&amp;TEXT($O33,"YYYY-MM-DD"),IF($Q33=0,"VERIFIED – cause eliminated","INEFFECTIVE – repeat analysis")))</f>
        <v>Awaiting implementation</v>
      </c>
      <c r="S33" s="37" t="str">
        <f aca="true">IF($E33="","",SUMIFS(Register!$AB$5:$AB$304,Register!$Q$5:$Q$304,$E33,Register!$B$5:$B$304,"&lt;"&amp;IF($N33="",TODAY(),$N33)))</f>
        <v/>
      </c>
      <c r="T33" s="35"/>
    </row>
    <row r="34" customFormat="false" ht="30" hidden="false" customHeight="true" outlineLevel="0" collapsed="false">
      <c r="A34" s="33"/>
      <c r="B34" s="33"/>
      <c r="C34" s="32"/>
      <c r="D34" s="35"/>
      <c r="E34" s="35"/>
      <c r="F34" s="33"/>
      <c r="G34" s="35"/>
      <c r="H34" s="35"/>
      <c r="I34" s="35"/>
      <c r="J34" s="35"/>
      <c r="K34" s="33"/>
      <c r="L34" s="32"/>
      <c r="M34" s="33"/>
      <c r="N34" s="32"/>
      <c r="O34" s="41" t="str">
        <f aca="false">IF($N34="","",$N34+Settings!$C$27)</f>
        <v/>
      </c>
      <c r="P34" s="35"/>
      <c r="Q34" s="31" t="str">
        <f aca="false">IF(OR($E34="",$N34=""),"",COUNTIFS(Register!$Q$5:$Q$304,$E34,Register!$B$5:$B$304,"&gt;"&amp;$N34))</f>
        <v/>
      </c>
      <c r="R34" s="42" t="str">
        <f aca="true">IF($Q34="","Awaiting implementation",IF(TODAY()&lt;$O34,"Monitored until "&amp;TEXT($O34,"YYYY-MM-DD"),IF($Q34=0,"VERIFIED – cause eliminated","INEFFECTIVE – repeat analysis")))</f>
        <v>Awaiting implementation</v>
      </c>
      <c r="S34" s="37" t="str">
        <f aca="true">IF($E34="","",SUMIFS(Register!$AB$5:$AB$304,Register!$Q$5:$Q$304,$E34,Register!$B$5:$B$304,"&lt;"&amp;IF($N34="",TODAY(),$N34)))</f>
        <v/>
      </c>
      <c r="T34" s="35"/>
    </row>
    <row r="35" customFormat="false" ht="30" hidden="false" customHeight="true" outlineLevel="0" collapsed="false">
      <c r="A35" s="33"/>
      <c r="B35" s="33"/>
      <c r="C35" s="32"/>
      <c r="D35" s="35"/>
      <c r="E35" s="35"/>
      <c r="F35" s="33"/>
      <c r="G35" s="35"/>
      <c r="H35" s="35"/>
      <c r="I35" s="35"/>
      <c r="J35" s="35"/>
      <c r="K35" s="33"/>
      <c r="L35" s="32"/>
      <c r="M35" s="33"/>
      <c r="N35" s="32"/>
      <c r="O35" s="41" t="str">
        <f aca="false">IF($N35="","",$N35+Settings!$C$27)</f>
        <v/>
      </c>
      <c r="P35" s="35"/>
      <c r="Q35" s="31" t="str">
        <f aca="false">IF(OR($E35="",$N35=""),"",COUNTIFS(Register!$Q$5:$Q$304,$E35,Register!$B$5:$B$304,"&gt;"&amp;$N35))</f>
        <v/>
      </c>
      <c r="R35" s="42" t="str">
        <f aca="true">IF($Q35="","Awaiting implementation",IF(TODAY()&lt;$O35,"Monitored until "&amp;TEXT($O35,"YYYY-MM-DD"),IF($Q35=0,"VERIFIED – cause eliminated","INEFFECTIVE – repeat analysis")))</f>
        <v>Awaiting implementation</v>
      </c>
      <c r="S35" s="37" t="str">
        <f aca="true">IF($E35="","",SUMIFS(Register!$AB$5:$AB$304,Register!$Q$5:$Q$304,$E35,Register!$B$5:$B$304,"&lt;"&amp;IF($N35="",TODAY(),$N35)))</f>
        <v/>
      </c>
      <c r="T35" s="35"/>
    </row>
    <row r="36" customFormat="false" ht="30" hidden="false" customHeight="true" outlineLevel="0" collapsed="false">
      <c r="A36" s="33"/>
      <c r="B36" s="33"/>
      <c r="C36" s="32"/>
      <c r="D36" s="35"/>
      <c r="E36" s="35"/>
      <c r="F36" s="33"/>
      <c r="G36" s="35"/>
      <c r="H36" s="35"/>
      <c r="I36" s="35"/>
      <c r="J36" s="35"/>
      <c r="K36" s="33"/>
      <c r="L36" s="32"/>
      <c r="M36" s="33"/>
      <c r="N36" s="32"/>
      <c r="O36" s="41" t="str">
        <f aca="false">IF($N36="","",$N36+Settings!$C$27)</f>
        <v/>
      </c>
      <c r="P36" s="35"/>
      <c r="Q36" s="31" t="str">
        <f aca="false">IF(OR($E36="",$N36=""),"",COUNTIFS(Register!$Q$5:$Q$304,$E36,Register!$B$5:$B$304,"&gt;"&amp;$N36))</f>
        <v/>
      </c>
      <c r="R36" s="42" t="str">
        <f aca="true">IF($Q36="","Awaiting implementation",IF(TODAY()&lt;$O36,"Monitored until "&amp;TEXT($O36,"YYYY-MM-DD"),IF($Q36=0,"VERIFIED – cause eliminated","INEFFECTIVE – repeat analysis")))</f>
        <v>Awaiting implementation</v>
      </c>
      <c r="S36" s="37" t="str">
        <f aca="true">IF($E36="","",SUMIFS(Register!$AB$5:$AB$304,Register!$Q$5:$Q$304,$E36,Register!$B$5:$B$304,"&lt;"&amp;IF($N36="",TODAY(),$N36)))</f>
        <v/>
      </c>
      <c r="T36" s="35"/>
    </row>
    <row r="37" customFormat="false" ht="30" hidden="false" customHeight="true" outlineLevel="0" collapsed="false">
      <c r="A37" s="33"/>
      <c r="B37" s="33"/>
      <c r="C37" s="32"/>
      <c r="D37" s="35"/>
      <c r="E37" s="35"/>
      <c r="F37" s="33"/>
      <c r="G37" s="35"/>
      <c r="H37" s="35"/>
      <c r="I37" s="35"/>
      <c r="J37" s="35"/>
      <c r="K37" s="33"/>
      <c r="L37" s="32"/>
      <c r="M37" s="33"/>
      <c r="N37" s="32"/>
      <c r="O37" s="41" t="str">
        <f aca="false">IF($N37="","",$N37+Settings!$C$27)</f>
        <v/>
      </c>
      <c r="P37" s="35"/>
      <c r="Q37" s="31" t="str">
        <f aca="false">IF(OR($E37="",$N37=""),"",COUNTIFS(Register!$Q$5:$Q$304,$E37,Register!$B$5:$B$304,"&gt;"&amp;$N37))</f>
        <v/>
      </c>
      <c r="R37" s="42" t="str">
        <f aca="true">IF($Q37="","Awaiting implementation",IF(TODAY()&lt;$O37,"Monitored until "&amp;TEXT($O37,"YYYY-MM-DD"),IF($Q37=0,"VERIFIED – cause eliminated","INEFFECTIVE – repeat analysis")))</f>
        <v>Awaiting implementation</v>
      </c>
      <c r="S37" s="37" t="str">
        <f aca="true">IF($E37="","",SUMIFS(Register!$AB$5:$AB$304,Register!$Q$5:$Q$304,$E37,Register!$B$5:$B$304,"&lt;"&amp;IF($N37="",TODAY(),$N37)))</f>
        <v/>
      </c>
      <c r="T37" s="35"/>
    </row>
    <row r="38" customFormat="false" ht="30" hidden="false" customHeight="true" outlineLevel="0" collapsed="false">
      <c r="A38" s="33"/>
      <c r="B38" s="33"/>
      <c r="C38" s="32"/>
      <c r="D38" s="35"/>
      <c r="E38" s="35"/>
      <c r="F38" s="33"/>
      <c r="G38" s="35"/>
      <c r="H38" s="35"/>
      <c r="I38" s="35"/>
      <c r="J38" s="35"/>
      <c r="K38" s="33"/>
      <c r="L38" s="32"/>
      <c r="M38" s="33"/>
      <c r="N38" s="32"/>
      <c r="O38" s="41" t="str">
        <f aca="false">IF($N38="","",$N38+Settings!$C$27)</f>
        <v/>
      </c>
      <c r="P38" s="35"/>
      <c r="Q38" s="31" t="str">
        <f aca="false">IF(OR($E38="",$N38=""),"",COUNTIFS(Register!$Q$5:$Q$304,$E38,Register!$B$5:$B$304,"&gt;"&amp;$N38))</f>
        <v/>
      </c>
      <c r="R38" s="42" t="str">
        <f aca="true">IF($Q38="","Awaiting implementation",IF(TODAY()&lt;$O38,"Monitored until "&amp;TEXT($O38,"YYYY-MM-DD"),IF($Q38=0,"VERIFIED – cause eliminated","INEFFECTIVE – repeat analysis")))</f>
        <v>Awaiting implementation</v>
      </c>
      <c r="S38" s="37" t="str">
        <f aca="true">IF($E38="","",SUMIFS(Register!$AB$5:$AB$304,Register!$Q$5:$Q$304,$E38,Register!$B$5:$B$304,"&lt;"&amp;IF($N38="",TODAY(),$N38)))</f>
        <v/>
      </c>
      <c r="T38" s="35"/>
    </row>
    <row r="39" customFormat="false" ht="30" hidden="false" customHeight="true" outlineLevel="0" collapsed="false">
      <c r="A39" s="33"/>
      <c r="B39" s="33"/>
      <c r="C39" s="32"/>
      <c r="D39" s="35"/>
      <c r="E39" s="35"/>
      <c r="F39" s="33"/>
      <c r="G39" s="35"/>
      <c r="H39" s="35"/>
      <c r="I39" s="35"/>
      <c r="J39" s="35"/>
      <c r="K39" s="33"/>
      <c r="L39" s="32"/>
      <c r="M39" s="33"/>
      <c r="N39" s="32"/>
      <c r="O39" s="41" t="str">
        <f aca="false">IF($N39="","",$N39+Settings!$C$27)</f>
        <v/>
      </c>
      <c r="P39" s="35"/>
      <c r="Q39" s="31" t="str">
        <f aca="false">IF(OR($E39="",$N39=""),"",COUNTIFS(Register!$Q$5:$Q$304,$E39,Register!$B$5:$B$304,"&gt;"&amp;$N39))</f>
        <v/>
      </c>
      <c r="R39" s="42" t="str">
        <f aca="true">IF($Q39="","Awaiting implementation",IF(TODAY()&lt;$O39,"Monitored until "&amp;TEXT($O39,"YYYY-MM-DD"),IF($Q39=0,"VERIFIED – cause eliminated","INEFFECTIVE – repeat analysis")))</f>
        <v>Awaiting implementation</v>
      </c>
      <c r="S39" s="37" t="str">
        <f aca="true">IF($E39="","",SUMIFS(Register!$AB$5:$AB$304,Register!$Q$5:$Q$304,$E39,Register!$B$5:$B$304,"&lt;"&amp;IF($N39="",TODAY(),$N39)))</f>
        <v/>
      </c>
      <c r="T39" s="35"/>
    </row>
    <row r="40" customFormat="false" ht="30" hidden="false" customHeight="true" outlineLevel="0" collapsed="false">
      <c r="A40" s="33"/>
      <c r="B40" s="33"/>
      <c r="C40" s="32"/>
      <c r="D40" s="35"/>
      <c r="E40" s="35"/>
      <c r="F40" s="33"/>
      <c r="G40" s="35"/>
      <c r="H40" s="35"/>
      <c r="I40" s="35"/>
      <c r="J40" s="35"/>
      <c r="K40" s="33"/>
      <c r="L40" s="32"/>
      <c r="M40" s="33"/>
      <c r="N40" s="32"/>
      <c r="O40" s="41" t="str">
        <f aca="false">IF($N40="","",$N40+Settings!$C$27)</f>
        <v/>
      </c>
      <c r="P40" s="35"/>
      <c r="Q40" s="31" t="str">
        <f aca="false">IF(OR($E40="",$N40=""),"",COUNTIFS(Register!$Q$5:$Q$304,$E40,Register!$B$5:$B$304,"&gt;"&amp;$N40))</f>
        <v/>
      </c>
      <c r="R40" s="42" t="str">
        <f aca="true">IF($Q40="","Awaiting implementation",IF(TODAY()&lt;$O40,"Monitored until "&amp;TEXT($O40,"YYYY-MM-DD"),IF($Q40=0,"VERIFIED – cause eliminated","INEFFECTIVE – repeat analysis")))</f>
        <v>Awaiting implementation</v>
      </c>
      <c r="S40" s="37" t="str">
        <f aca="true">IF($E40="","",SUMIFS(Register!$AB$5:$AB$304,Register!$Q$5:$Q$304,$E40,Register!$B$5:$B$304,"&lt;"&amp;IF($N40="",TODAY(),$N40)))</f>
        <v/>
      </c>
      <c r="T40" s="35"/>
    </row>
    <row r="41" customFormat="false" ht="30" hidden="false" customHeight="true" outlineLevel="0" collapsed="false">
      <c r="A41" s="33"/>
      <c r="B41" s="33"/>
      <c r="C41" s="32"/>
      <c r="D41" s="35"/>
      <c r="E41" s="35"/>
      <c r="F41" s="33"/>
      <c r="G41" s="35"/>
      <c r="H41" s="35"/>
      <c r="I41" s="35"/>
      <c r="J41" s="35"/>
      <c r="K41" s="33"/>
      <c r="L41" s="32"/>
      <c r="M41" s="33"/>
      <c r="N41" s="32"/>
      <c r="O41" s="41" t="str">
        <f aca="false">IF($N41="","",$N41+Settings!$C$27)</f>
        <v/>
      </c>
      <c r="P41" s="35"/>
      <c r="Q41" s="31" t="str">
        <f aca="false">IF(OR($E41="",$N41=""),"",COUNTIFS(Register!$Q$5:$Q$304,$E41,Register!$B$5:$B$304,"&gt;"&amp;$N41))</f>
        <v/>
      </c>
      <c r="R41" s="42" t="str">
        <f aca="true">IF($Q41="","Awaiting implementation",IF(TODAY()&lt;$O41,"Monitored until "&amp;TEXT($O41,"YYYY-MM-DD"),IF($Q41=0,"VERIFIED – cause eliminated","INEFFECTIVE – repeat analysis")))</f>
        <v>Awaiting implementation</v>
      </c>
      <c r="S41" s="37" t="str">
        <f aca="true">IF($E41="","",SUMIFS(Register!$AB$5:$AB$304,Register!$Q$5:$Q$304,$E41,Register!$B$5:$B$304,"&lt;"&amp;IF($N41="",TODAY(),$N41)))</f>
        <v/>
      </c>
      <c r="T41" s="35"/>
    </row>
    <row r="42" customFormat="false" ht="30" hidden="false" customHeight="true" outlineLevel="0" collapsed="false">
      <c r="A42" s="33"/>
      <c r="B42" s="33"/>
      <c r="C42" s="32"/>
      <c r="D42" s="35"/>
      <c r="E42" s="35"/>
      <c r="F42" s="33"/>
      <c r="G42" s="35"/>
      <c r="H42" s="35"/>
      <c r="I42" s="35"/>
      <c r="J42" s="35"/>
      <c r="K42" s="33"/>
      <c r="L42" s="32"/>
      <c r="M42" s="33"/>
      <c r="N42" s="32"/>
      <c r="O42" s="41" t="str">
        <f aca="false">IF($N42="","",$N42+Settings!$C$27)</f>
        <v/>
      </c>
      <c r="P42" s="35"/>
      <c r="Q42" s="31" t="str">
        <f aca="false">IF(OR($E42="",$N42=""),"",COUNTIFS(Register!$Q$5:$Q$304,$E42,Register!$B$5:$B$304,"&gt;"&amp;$N42))</f>
        <v/>
      </c>
      <c r="R42" s="42" t="str">
        <f aca="true">IF($Q42="","Awaiting implementation",IF(TODAY()&lt;$O42,"Monitored until "&amp;TEXT($O42,"YYYY-MM-DD"),IF($Q42=0,"VERIFIED – cause eliminated","INEFFECTIVE – repeat analysis")))</f>
        <v>Awaiting implementation</v>
      </c>
      <c r="S42" s="37" t="str">
        <f aca="true">IF($E42="","",SUMIFS(Register!$AB$5:$AB$304,Register!$Q$5:$Q$304,$E42,Register!$B$5:$B$304,"&lt;"&amp;IF($N42="",TODAY(),$N42)))</f>
        <v/>
      </c>
      <c r="T42" s="35"/>
    </row>
    <row r="43" customFormat="false" ht="30" hidden="false" customHeight="true" outlineLevel="0" collapsed="false">
      <c r="A43" s="33"/>
      <c r="B43" s="33"/>
      <c r="C43" s="32"/>
      <c r="D43" s="35"/>
      <c r="E43" s="35"/>
      <c r="F43" s="33"/>
      <c r="G43" s="35"/>
      <c r="H43" s="35"/>
      <c r="I43" s="35"/>
      <c r="J43" s="35"/>
      <c r="K43" s="33"/>
      <c r="L43" s="32"/>
      <c r="M43" s="33"/>
      <c r="N43" s="32"/>
      <c r="O43" s="41" t="str">
        <f aca="false">IF($N43="","",$N43+Settings!$C$27)</f>
        <v/>
      </c>
      <c r="P43" s="35"/>
      <c r="Q43" s="31" t="str">
        <f aca="false">IF(OR($E43="",$N43=""),"",COUNTIFS(Register!$Q$5:$Q$304,$E43,Register!$B$5:$B$304,"&gt;"&amp;$N43))</f>
        <v/>
      </c>
      <c r="R43" s="42" t="str">
        <f aca="true">IF($Q43="","Awaiting implementation",IF(TODAY()&lt;$O43,"Monitored until "&amp;TEXT($O43,"YYYY-MM-DD"),IF($Q43=0,"VERIFIED – cause eliminated","INEFFECTIVE – repeat analysis")))</f>
        <v>Awaiting implementation</v>
      </c>
      <c r="S43" s="37" t="str">
        <f aca="true">IF($E43="","",SUMIFS(Register!$AB$5:$AB$304,Register!$Q$5:$Q$304,$E43,Register!$B$5:$B$304,"&lt;"&amp;IF($N43="",TODAY(),$N43)))</f>
        <v/>
      </c>
      <c r="T43" s="35"/>
    </row>
    <row r="44" customFormat="false" ht="30" hidden="false" customHeight="true" outlineLevel="0" collapsed="false">
      <c r="A44" s="33"/>
      <c r="B44" s="33"/>
      <c r="C44" s="32"/>
      <c r="D44" s="35"/>
      <c r="E44" s="35"/>
      <c r="F44" s="33"/>
      <c r="G44" s="35"/>
      <c r="H44" s="35"/>
      <c r="I44" s="35"/>
      <c r="J44" s="35"/>
      <c r="K44" s="33"/>
      <c r="L44" s="32"/>
      <c r="M44" s="33"/>
      <c r="N44" s="32"/>
      <c r="O44" s="41" t="str">
        <f aca="false">IF($N44="","",$N44+Settings!$C$27)</f>
        <v/>
      </c>
      <c r="P44" s="35"/>
      <c r="Q44" s="31" t="str">
        <f aca="false">IF(OR($E44="",$N44=""),"",COUNTIFS(Register!$Q$5:$Q$304,$E44,Register!$B$5:$B$304,"&gt;"&amp;$N44))</f>
        <v/>
      </c>
      <c r="R44" s="42" t="str">
        <f aca="true">IF($Q44="","Awaiting implementation",IF(TODAY()&lt;$O44,"Monitored until "&amp;TEXT($O44,"YYYY-MM-DD"),IF($Q44=0,"VERIFIED – cause eliminated","INEFFECTIVE – repeat analysis")))</f>
        <v>Awaiting implementation</v>
      </c>
      <c r="S44" s="37" t="str">
        <f aca="true">IF($E44="","",SUMIFS(Register!$AB$5:$AB$304,Register!$Q$5:$Q$304,$E44,Register!$B$5:$B$304,"&lt;"&amp;IF($N44="",TODAY(),$N44)))</f>
        <v/>
      </c>
      <c r="T44" s="35"/>
    </row>
    <row r="45" customFormat="false" ht="30" hidden="false" customHeight="true" outlineLevel="0" collapsed="false">
      <c r="A45" s="33"/>
      <c r="B45" s="33"/>
      <c r="C45" s="32"/>
      <c r="D45" s="35"/>
      <c r="E45" s="35"/>
      <c r="F45" s="33"/>
      <c r="G45" s="35"/>
      <c r="H45" s="35"/>
      <c r="I45" s="35"/>
      <c r="J45" s="35"/>
      <c r="K45" s="33"/>
      <c r="L45" s="32"/>
      <c r="M45" s="33"/>
      <c r="N45" s="32"/>
      <c r="O45" s="41" t="str">
        <f aca="false">IF($N45="","",$N45+Settings!$C$27)</f>
        <v/>
      </c>
      <c r="P45" s="35"/>
      <c r="Q45" s="31" t="str">
        <f aca="false">IF(OR($E45="",$N45=""),"",COUNTIFS(Register!$Q$5:$Q$304,$E45,Register!$B$5:$B$304,"&gt;"&amp;$N45))</f>
        <v/>
      </c>
      <c r="R45" s="42" t="str">
        <f aca="true">IF($Q45="","Awaiting implementation",IF(TODAY()&lt;$O45,"Monitored until "&amp;TEXT($O45,"YYYY-MM-DD"),IF($Q45=0,"VERIFIED – cause eliminated","INEFFECTIVE – repeat analysis")))</f>
        <v>Awaiting implementation</v>
      </c>
      <c r="S45" s="37" t="str">
        <f aca="true">IF($E45="","",SUMIFS(Register!$AB$5:$AB$304,Register!$Q$5:$Q$304,$E45,Register!$B$5:$B$304,"&lt;"&amp;IF($N45="",TODAY(),$N45)))</f>
        <v/>
      </c>
      <c r="T45" s="35"/>
    </row>
    <row r="46" customFormat="false" ht="30" hidden="false" customHeight="true" outlineLevel="0" collapsed="false">
      <c r="A46" s="33"/>
      <c r="B46" s="33"/>
      <c r="C46" s="32"/>
      <c r="D46" s="35"/>
      <c r="E46" s="35"/>
      <c r="F46" s="33"/>
      <c r="G46" s="35"/>
      <c r="H46" s="35"/>
      <c r="I46" s="35"/>
      <c r="J46" s="35"/>
      <c r="K46" s="33"/>
      <c r="L46" s="32"/>
      <c r="M46" s="33"/>
      <c r="N46" s="32"/>
      <c r="O46" s="41" t="str">
        <f aca="false">IF($N46="","",$N46+Settings!$C$27)</f>
        <v/>
      </c>
      <c r="P46" s="35"/>
      <c r="Q46" s="31" t="str">
        <f aca="false">IF(OR($E46="",$N46=""),"",COUNTIFS(Register!$Q$5:$Q$304,$E46,Register!$B$5:$B$304,"&gt;"&amp;$N46))</f>
        <v/>
      </c>
      <c r="R46" s="42" t="str">
        <f aca="true">IF($Q46="","Awaiting implementation",IF(TODAY()&lt;$O46,"Monitored until "&amp;TEXT($O46,"YYYY-MM-DD"),IF($Q46=0,"VERIFIED – cause eliminated","INEFFECTIVE – repeat analysis")))</f>
        <v>Awaiting implementation</v>
      </c>
      <c r="S46" s="37" t="str">
        <f aca="true">IF($E46="","",SUMIFS(Register!$AB$5:$AB$304,Register!$Q$5:$Q$304,$E46,Register!$B$5:$B$304,"&lt;"&amp;IF($N46="",TODAY(),$N46)))</f>
        <v/>
      </c>
      <c r="T46" s="35"/>
    </row>
    <row r="47" customFormat="false" ht="30" hidden="false" customHeight="true" outlineLevel="0" collapsed="false">
      <c r="A47" s="33"/>
      <c r="B47" s="33"/>
      <c r="C47" s="32"/>
      <c r="D47" s="35"/>
      <c r="E47" s="35"/>
      <c r="F47" s="33"/>
      <c r="G47" s="35"/>
      <c r="H47" s="35"/>
      <c r="I47" s="35"/>
      <c r="J47" s="35"/>
      <c r="K47" s="33"/>
      <c r="L47" s="32"/>
      <c r="M47" s="33"/>
      <c r="N47" s="32"/>
      <c r="O47" s="41" t="str">
        <f aca="false">IF($N47="","",$N47+Settings!$C$27)</f>
        <v/>
      </c>
      <c r="P47" s="35"/>
      <c r="Q47" s="31" t="str">
        <f aca="false">IF(OR($E47="",$N47=""),"",COUNTIFS(Register!$Q$5:$Q$304,$E47,Register!$B$5:$B$304,"&gt;"&amp;$N47))</f>
        <v/>
      </c>
      <c r="R47" s="42" t="str">
        <f aca="true">IF($Q47="","Awaiting implementation",IF(TODAY()&lt;$O47,"Monitored until "&amp;TEXT($O47,"YYYY-MM-DD"),IF($Q47=0,"VERIFIED – cause eliminated","INEFFECTIVE – repeat analysis")))</f>
        <v>Awaiting implementation</v>
      </c>
      <c r="S47" s="37" t="str">
        <f aca="true">IF($E47="","",SUMIFS(Register!$AB$5:$AB$304,Register!$Q$5:$Q$304,$E47,Register!$B$5:$B$304,"&lt;"&amp;IF($N47="",TODAY(),$N47)))</f>
        <v/>
      </c>
      <c r="T47" s="35"/>
    </row>
    <row r="48" customFormat="false" ht="30" hidden="false" customHeight="true" outlineLevel="0" collapsed="false">
      <c r="A48" s="33"/>
      <c r="B48" s="33"/>
      <c r="C48" s="32"/>
      <c r="D48" s="35"/>
      <c r="E48" s="35"/>
      <c r="F48" s="33"/>
      <c r="G48" s="35"/>
      <c r="H48" s="35"/>
      <c r="I48" s="35"/>
      <c r="J48" s="35"/>
      <c r="K48" s="33"/>
      <c r="L48" s="32"/>
      <c r="M48" s="33"/>
      <c r="N48" s="32"/>
      <c r="O48" s="41" t="str">
        <f aca="false">IF($N48="","",$N48+Settings!$C$27)</f>
        <v/>
      </c>
      <c r="P48" s="35"/>
      <c r="Q48" s="31" t="str">
        <f aca="false">IF(OR($E48="",$N48=""),"",COUNTIFS(Register!$Q$5:$Q$304,$E48,Register!$B$5:$B$304,"&gt;"&amp;$N48))</f>
        <v/>
      </c>
      <c r="R48" s="42" t="str">
        <f aca="true">IF($Q48="","Awaiting implementation",IF(TODAY()&lt;$O48,"Monitored until "&amp;TEXT($O48,"YYYY-MM-DD"),IF($Q48=0,"VERIFIED – cause eliminated","INEFFECTIVE – repeat analysis")))</f>
        <v>Awaiting implementation</v>
      </c>
      <c r="S48" s="37" t="str">
        <f aca="true">IF($E48="","",SUMIFS(Register!$AB$5:$AB$304,Register!$Q$5:$Q$304,$E48,Register!$B$5:$B$304,"&lt;"&amp;IF($N48="",TODAY(),$N48)))</f>
        <v/>
      </c>
      <c r="T48" s="35"/>
    </row>
    <row r="49" customFormat="false" ht="30" hidden="false" customHeight="true" outlineLevel="0" collapsed="false">
      <c r="A49" s="33"/>
      <c r="B49" s="33"/>
      <c r="C49" s="32"/>
      <c r="D49" s="35"/>
      <c r="E49" s="35"/>
      <c r="F49" s="33"/>
      <c r="G49" s="35"/>
      <c r="H49" s="35"/>
      <c r="I49" s="35"/>
      <c r="J49" s="35"/>
      <c r="K49" s="33"/>
      <c r="L49" s="32"/>
      <c r="M49" s="33"/>
      <c r="N49" s="32"/>
      <c r="O49" s="41" t="str">
        <f aca="false">IF($N49="","",$N49+Settings!$C$27)</f>
        <v/>
      </c>
      <c r="P49" s="35"/>
      <c r="Q49" s="31" t="str">
        <f aca="false">IF(OR($E49="",$N49=""),"",COUNTIFS(Register!$Q$5:$Q$304,$E49,Register!$B$5:$B$304,"&gt;"&amp;$N49))</f>
        <v/>
      </c>
      <c r="R49" s="42" t="str">
        <f aca="true">IF($Q49="","Awaiting implementation",IF(TODAY()&lt;$O49,"Monitored until "&amp;TEXT($O49,"YYYY-MM-DD"),IF($Q49=0,"VERIFIED – cause eliminated","INEFFECTIVE – repeat analysis")))</f>
        <v>Awaiting implementation</v>
      </c>
      <c r="S49" s="37" t="str">
        <f aca="true">IF($E49="","",SUMIFS(Register!$AB$5:$AB$304,Register!$Q$5:$Q$304,$E49,Register!$B$5:$B$304,"&lt;"&amp;IF($N49="",TODAY(),$N49)))</f>
        <v/>
      </c>
      <c r="T49" s="35"/>
    </row>
    <row r="50" customFormat="false" ht="30" hidden="false" customHeight="true" outlineLevel="0" collapsed="false">
      <c r="A50" s="33"/>
      <c r="B50" s="33"/>
      <c r="C50" s="32"/>
      <c r="D50" s="35"/>
      <c r="E50" s="35"/>
      <c r="F50" s="33"/>
      <c r="G50" s="35"/>
      <c r="H50" s="35"/>
      <c r="I50" s="35"/>
      <c r="J50" s="35"/>
      <c r="K50" s="33"/>
      <c r="L50" s="32"/>
      <c r="M50" s="33"/>
      <c r="N50" s="32"/>
      <c r="O50" s="41" t="str">
        <f aca="false">IF($N50="","",$N50+Settings!$C$27)</f>
        <v/>
      </c>
      <c r="P50" s="35"/>
      <c r="Q50" s="31" t="str">
        <f aca="false">IF(OR($E50="",$N50=""),"",COUNTIFS(Register!$Q$5:$Q$304,$E50,Register!$B$5:$B$304,"&gt;"&amp;$N50))</f>
        <v/>
      </c>
      <c r="R50" s="42" t="str">
        <f aca="true">IF($Q50="","Awaiting implementation",IF(TODAY()&lt;$O50,"Monitored until "&amp;TEXT($O50,"YYYY-MM-DD"),IF($Q50=0,"VERIFIED – cause eliminated","INEFFECTIVE – repeat analysis")))</f>
        <v>Awaiting implementation</v>
      </c>
      <c r="S50" s="37" t="str">
        <f aca="true">IF($E50="","",SUMIFS(Register!$AB$5:$AB$304,Register!$Q$5:$Q$304,$E50,Register!$B$5:$B$304,"&lt;"&amp;IF($N50="",TODAY(),$N50)))</f>
        <v/>
      </c>
      <c r="T50" s="35"/>
    </row>
    <row r="51" customFormat="false" ht="30" hidden="false" customHeight="true" outlineLevel="0" collapsed="false">
      <c r="A51" s="33"/>
      <c r="B51" s="33"/>
      <c r="C51" s="32"/>
      <c r="D51" s="35"/>
      <c r="E51" s="35"/>
      <c r="F51" s="33"/>
      <c r="G51" s="35"/>
      <c r="H51" s="35"/>
      <c r="I51" s="35"/>
      <c r="J51" s="35"/>
      <c r="K51" s="33"/>
      <c r="L51" s="32"/>
      <c r="M51" s="33"/>
      <c r="N51" s="32"/>
      <c r="O51" s="41" t="str">
        <f aca="false">IF($N51="","",$N51+Settings!$C$27)</f>
        <v/>
      </c>
      <c r="P51" s="35"/>
      <c r="Q51" s="31" t="str">
        <f aca="false">IF(OR($E51="",$N51=""),"",COUNTIFS(Register!$Q$5:$Q$304,$E51,Register!$B$5:$B$304,"&gt;"&amp;$N51))</f>
        <v/>
      </c>
      <c r="R51" s="42" t="str">
        <f aca="true">IF($Q51="","Awaiting implementation",IF(TODAY()&lt;$O51,"Monitored until "&amp;TEXT($O51,"YYYY-MM-DD"),IF($Q51=0,"VERIFIED – cause eliminated","INEFFECTIVE – repeat analysis")))</f>
        <v>Awaiting implementation</v>
      </c>
      <c r="S51" s="37" t="str">
        <f aca="true">IF($E51="","",SUMIFS(Register!$AB$5:$AB$304,Register!$Q$5:$Q$304,$E51,Register!$B$5:$B$304,"&lt;"&amp;IF($N51="",TODAY(),$N51)))</f>
        <v/>
      </c>
      <c r="T51" s="35"/>
    </row>
    <row r="52" customFormat="false" ht="30" hidden="false" customHeight="true" outlineLevel="0" collapsed="false">
      <c r="A52" s="33"/>
      <c r="B52" s="33"/>
      <c r="C52" s="32"/>
      <c r="D52" s="35"/>
      <c r="E52" s="35"/>
      <c r="F52" s="33"/>
      <c r="G52" s="35"/>
      <c r="H52" s="35"/>
      <c r="I52" s="35"/>
      <c r="J52" s="35"/>
      <c r="K52" s="33"/>
      <c r="L52" s="32"/>
      <c r="M52" s="33"/>
      <c r="N52" s="32"/>
      <c r="O52" s="41" t="str">
        <f aca="false">IF($N52="","",$N52+Settings!$C$27)</f>
        <v/>
      </c>
      <c r="P52" s="35"/>
      <c r="Q52" s="31" t="str">
        <f aca="false">IF(OR($E52="",$N52=""),"",COUNTIFS(Register!$Q$5:$Q$304,$E52,Register!$B$5:$B$304,"&gt;"&amp;$N52))</f>
        <v/>
      </c>
      <c r="R52" s="42" t="str">
        <f aca="true">IF($Q52="","Awaiting implementation",IF(TODAY()&lt;$O52,"Monitored until "&amp;TEXT($O52,"YYYY-MM-DD"),IF($Q52=0,"VERIFIED – cause eliminated","INEFFECTIVE – repeat analysis")))</f>
        <v>Awaiting implementation</v>
      </c>
      <c r="S52" s="37" t="str">
        <f aca="true">IF($E52="","",SUMIFS(Register!$AB$5:$AB$304,Register!$Q$5:$Q$304,$E52,Register!$B$5:$B$304,"&lt;"&amp;IF($N52="",TODAY(),$N52)))</f>
        <v/>
      </c>
      <c r="T52" s="35"/>
    </row>
    <row r="53" customFormat="false" ht="30" hidden="false" customHeight="true" outlineLevel="0" collapsed="false">
      <c r="A53" s="33"/>
      <c r="B53" s="33"/>
      <c r="C53" s="32"/>
      <c r="D53" s="35"/>
      <c r="E53" s="35"/>
      <c r="F53" s="33"/>
      <c r="G53" s="35"/>
      <c r="H53" s="35"/>
      <c r="I53" s="35"/>
      <c r="J53" s="35"/>
      <c r="K53" s="33"/>
      <c r="L53" s="32"/>
      <c r="M53" s="33"/>
      <c r="N53" s="32"/>
      <c r="O53" s="41" t="str">
        <f aca="false">IF($N53="","",$N53+Settings!$C$27)</f>
        <v/>
      </c>
      <c r="P53" s="35"/>
      <c r="Q53" s="31" t="str">
        <f aca="false">IF(OR($E53="",$N53=""),"",COUNTIFS(Register!$Q$5:$Q$304,$E53,Register!$B$5:$B$304,"&gt;"&amp;$N53))</f>
        <v/>
      </c>
      <c r="R53" s="42" t="str">
        <f aca="true">IF($Q53="","Awaiting implementation",IF(TODAY()&lt;$O53,"Monitored until "&amp;TEXT($O53,"YYYY-MM-DD"),IF($Q53=0,"VERIFIED – cause eliminated","INEFFECTIVE – repeat analysis")))</f>
        <v>Awaiting implementation</v>
      </c>
      <c r="S53" s="37" t="str">
        <f aca="true">IF($E53="","",SUMIFS(Register!$AB$5:$AB$304,Register!$Q$5:$Q$304,$E53,Register!$B$5:$B$304,"&lt;"&amp;IF($N53="",TODAY(),$N53)))</f>
        <v/>
      </c>
      <c r="T53" s="35"/>
    </row>
    <row r="54" customFormat="false" ht="30" hidden="false" customHeight="true" outlineLevel="0" collapsed="false">
      <c r="A54" s="33"/>
      <c r="B54" s="33"/>
      <c r="C54" s="32"/>
      <c r="D54" s="35"/>
      <c r="E54" s="35"/>
      <c r="F54" s="33"/>
      <c r="G54" s="35"/>
      <c r="H54" s="35"/>
      <c r="I54" s="35"/>
      <c r="J54" s="35"/>
      <c r="K54" s="33"/>
      <c r="L54" s="32"/>
      <c r="M54" s="33"/>
      <c r="N54" s="32"/>
      <c r="O54" s="41" t="str">
        <f aca="false">IF($N54="","",$N54+Settings!$C$27)</f>
        <v/>
      </c>
      <c r="P54" s="35"/>
      <c r="Q54" s="31" t="str">
        <f aca="false">IF(OR($E54="",$N54=""),"",COUNTIFS(Register!$Q$5:$Q$304,$E54,Register!$B$5:$B$304,"&gt;"&amp;$N54))</f>
        <v/>
      </c>
      <c r="R54" s="42" t="str">
        <f aca="true">IF($Q54="","Awaiting implementation",IF(TODAY()&lt;$O54,"Monitored until "&amp;TEXT($O54,"YYYY-MM-DD"),IF($Q54=0,"VERIFIED – cause eliminated","INEFFECTIVE – repeat analysis")))</f>
        <v>Awaiting implementation</v>
      </c>
      <c r="S54" s="37" t="str">
        <f aca="true">IF($E54="","",SUMIFS(Register!$AB$5:$AB$304,Register!$Q$5:$Q$304,$E54,Register!$B$5:$B$304,"&lt;"&amp;IF($N54="",TODAY(),$N54)))</f>
        <v/>
      </c>
      <c r="T54" s="35"/>
    </row>
    <row r="55" customFormat="false" ht="30" hidden="false" customHeight="true" outlineLevel="0" collapsed="false">
      <c r="A55" s="33"/>
      <c r="B55" s="33"/>
      <c r="C55" s="32"/>
      <c r="D55" s="35"/>
      <c r="E55" s="35"/>
      <c r="F55" s="33"/>
      <c r="G55" s="35"/>
      <c r="H55" s="35"/>
      <c r="I55" s="35"/>
      <c r="J55" s="35"/>
      <c r="K55" s="33"/>
      <c r="L55" s="32"/>
      <c r="M55" s="33"/>
      <c r="N55" s="32"/>
      <c r="O55" s="41" t="str">
        <f aca="false">IF($N55="","",$N55+Settings!$C$27)</f>
        <v/>
      </c>
      <c r="P55" s="35"/>
      <c r="Q55" s="31" t="str">
        <f aca="false">IF(OR($E55="",$N55=""),"",COUNTIFS(Register!$Q$5:$Q$304,$E55,Register!$B$5:$B$304,"&gt;"&amp;$N55))</f>
        <v/>
      </c>
      <c r="R55" s="42" t="str">
        <f aca="true">IF($Q55="","Awaiting implementation",IF(TODAY()&lt;$O55,"Monitored until "&amp;TEXT($O55,"YYYY-MM-DD"),IF($Q55=0,"VERIFIED – cause eliminated","INEFFECTIVE – repeat analysis")))</f>
        <v>Awaiting implementation</v>
      </c>
      <c r="S55" s="37" t="str">
        <f aca="true">IF($E55="","",SUMIFS(Register!$AB$5:$AB$304,Register!$Q$5:$Q$304,$E55,Register!$B$5:$B$304,"&lt;"&amp;IF($N55="",TODAY(),$N55)))</f>
        <v/>
      </c>
      <c r="T55" s="35"/>
    </row>
    <row r="56" customFormat="false" ht="30" hidden="false" customHeight="true" outlineLevel="0" collapsed="false">
      <c r="A56" s="33"/>
      <c r="B56" s="33"/>
      <c r="C56" s="32"/>
      <c r="D56" s="35"/>
      <c r="E56" s="35"/>
      <c r="F56" s="33"/>
      <c r="G56" s="35"/>
      <c r="H56" s="35"/>
      <c r="I56" s="35"/>
      <c r="J56" s="35"/>
      <c r="K56" s="33"/>
      <c r="L56" s="32"/>
      <c r="M56" s="33"/>
      <c r="N56" s="32"/>
      <c r="O56" s="41" t="str">
        <f aca="false">IF($N56="","",$N56+Settings!$C$27)</f>
        <v/>
      </c>
      <c r="P56" s="35"/>
      <c r="Q56" s="31" t="str">
        <f aca="false">IF(OR($E56="",$N56=""),"",COUNTIFS(Register!$Q$5:$Q$304,$E56,Register!$B$5:$B$304,"&gt;"&amp;$N56))</f>
        <v/>
      </c>
      <c r="R56" s="42" t="str">
        <f aca="true">IF($Q56="","Awaiting implementation",IF(TODAY()&lt;$O56,"Monitored until "&amp;TEXT($O56,"YYYY-MM-DD"),IF($Q56=0,"VERIFIED – cause eliminated","INEFFECTIVE – repeat analysis")))</f>
        <v>Awaiting implementation</v>
      </c>
      <c r="S56" s="37" t="str">
        <f aca="true">IF($E56="","",SUMIFS(Register!$AB$5:$AB$304,Register!$Q$5:$Q$304,$E56,Register!$B$5:$B$304,"&lt;"&amp;IF($N56="",TODAY(),$N56)))</f>
        <v/>
      </c>
      <c r="T56" s="35"/>
    </row>
    <row r="57" customFormat="false" ht="30" hidden="false" customHeight="true" outlineLevel="0" collapsed="false">
      <c r="A57" s="33"/>
      <c r="B57" s="33"/>
      <c r="C57" s="32"/>
      <c r="D57" s="35"/>
      <c r="E57" s="35"/>
      <c r="F57" s="33"/>
      <c r="G57" s="35"/>
      <c r="H57" s="35"/>
      <c r="I57" s="35"/>
      <c r="J57" s="35"/>
      <c r="K57" s="33"/>
      <c r="L57" s="32"/>
      <c r="M57" s="33"/>
      <c r="N57" s="32"/>
      <c r="O57" s="41" t="str">
        <f aca="false">IF($N57="","",$N57+Settings!$C$27)</f>
        <v/>
      </c>
      <c r="P57" s="35"/>
      <c r="Q57" s="31" t="str">
        <f aca="false">IF(OR($E57="",$N57=""),"",COUNTIFS(Register!$Q$5:$Q$304,$E57,Register!$B$5:$B$304,"&gt;"&amp;$N57))</f>
        <v/>
      </c>
      <c r="R57" s="42" t="str">
        <f aca="true">IF($Q57="","Awaiting implementation",IF(TODAY()&lt;$O57,"Monitored until "&amp;TEXT($O57,"YYYY-MM-DD"),IF($Q57=0,"VERIFIED – cause eliminated","INEFFECTIVE – repeat analysis")))</f>
        <v>Awaiting implementation</v>
      </c>
      <c r="S57" s="37" t="str">
        <f aca="true">IF($E57="","",SUMIFS(Register!$AB$5:$AB$304,Register!$Q$5:$Q$304,$E57,Register!$B$5:$B$304,"&lt;"&amp;IF($N57="",TODAY(),$N57)))</f>
        <v/>
      </c>
      <c r="T57" s="35"/>
    </row>
    <row r="58" customFormat="false" ht="30" hidden="false" customHeight="true" outlineLevel="0" collapsed="false">
      <c r="A58" s="33"/>
      <c r="B58" s="33"/>
      <c r="C58" s="32"/>
      <c r="D58" s="35"/>
      <c r="E58" s="35"/>
      <c r="F58" s="33"/>
      <c r="G58" s="35"/>
      <c r="H58" s="35"/>
      <c r="I58" s="35"/>
      <c r="J58" s="35"/>
      <c r="K58" s="33"/>
      <c r="L58" s="32"/>
      <c r="M58" s="33"/>
      <c r="N58" s="32"/>
      <c r="O58" s="41" t="str">
        <f aca="false">IF($N58="","",$N58+Settings!$C$27)</f>
        <v/>
      </c>
      <c r="P58" s="35"/>
      <c r="Q58" s="31" t="str">
        <f aca="false">IF(OR($E58="",$N58=""),"",COUNTIFS(Register!$Q$5:$Q$304,$E58,Register!$B$5:$B$304,"&gt;"&amp;$N58))</f>
        <v/>
      </c>
      <c r="R58" s="42" t="str">
        <f aca="true">IF($Q58="","Awaiting implementation",IF(TODAY()&lt;$O58,"Monitored until "&amp;TEXT($O58,"YYYY-MM-DD"),IF($Q58=0,"VERIFIED – cause eliminated","INEFFECTIVE – repeat analysis")))</f>
        <v>Awaiting implementation</v>
      </c>
      <c r="S58" s="37" t="str">
        <f aca="true">IF($E58="","",SUMIFS(Register!$AB$5:$AB$304,Register!$Q$5:$Q$304,$E58,Register!$B$5:$B$304,"&lt;"&amp;IF($N58="",TODAY(),$N58)))</f>
        <v/>
      </c>
      <c r="T58" s="35"/>
    </row>
    <row r="59" customFormat="false" ht="30" hidden="false" customHeight="true" outlineLevel="0" collapsed="false">
      <c r="A59" s="33"/>
      <c r="B59" s="33"/>
      <c r="C59" s="32"/>
      <c r="D59" s="35"/>
      <c r="E59" s="35"/>
      <c r="F59" s="33"/>
      <c r="G59" s="35"/>
      <c r="H59" s="35"/>
      <c r="I59" s="35"/>
      <c r="J59" s="35"/>
      <c r="K59" s="33"/>
      <c r="L59" s="32"/>
      <c r="M59" s="33"/>
      <c r="N59" s="32"/>
      <c r="O59" s="41" t="str">
        <f aca="false">IF($N59="","",$N59+Settings!$C$27)</f>
        <v/>
      </c>
      <c r="P59" s="35"/>
      <c r="Q59" s="31" t="str">
        <f aca="false">IF(OR($E59="",$N59=""),"",COUNTIFS(Register!$Q$5:$Q$304,$E59,Register!$B$5:$B$304,"&gt;"&amp;$N59))</f>
        <v/>
      </c>
      <c r="R59" s="42" t="str">
        <f aca="true">IF($Q59="","Awaiting implementation",IF(TODAY()&lt;$O59,"Monitored until "&amp;TEXT($O59,"YYYY-MM-DD"),IF($Q59=0,"VERIFIED – cause eliminated","INEFFECTIVE – repeat analysis")))</f>
        <v>Awaiting implementation</v>
      </c>
      <c r="S59" s="37" t="str">
        <f aca="true">IF($E59="","",SUMIFS(Register!$AB$5:$AB$304,Register!$Q$5:$Q$304,$E59,Register!$B$5:$B$304,"&lt;"&amp;IF($N59="",TODAY(),$N59)))</f>
        <v/>
      </c>
      <c r="T59" s="35"/>
    </row>
    <row r="60" customFormat="false" ht="30" hidden="false" customHeight="true" outlineLevel="0" collapsed="false">
      <c r="A60" s="33"/>
      <c r="B60" s="33"/>
      <c r="C60" s="32"/>
      <c r="D60" s="35"/>
      <c r="E60" s="35"/>
      <c r="F60" s="33"/>
      <c r="G60" s="35"/>
      <c r="H60" s="35"/>
      <c r="I60" s="35"/>
      <c r="J60" s="35"/>
      <c r="K60" s="33"/>
      <c r="L60" s="32"/>
      <c r="M60" s="33"/>
      <c r="N60" s="32"/>
      <c r="O60" s="41" t="str">
        <f aca="false">IF($N60="","",$N60+Settings!$C$27)</f>
        <v/>
      </c>
      <c r="P60" s="35"/>
      <c r="Q60" s="31" t="str">
        <f aca="false">IF(OR($E60="",$N60=""),"",COUNTIFS(Register!$Q$5:$Q$304,$E60,Register!$B$5:$B$304,"&gt;"&amp;$N60))</f>
        <v/>
      </c>
      <c r="R60" s="42" t="str">
        <f aca="true">IF($Q60="","Awaiting implementation",IF(TODAY()&lt;$O60,"Monitored until "&amp;TEXT($O60,"YYYY-MM-DD"),IF($Q60=0,"VERIFIED – cause eliminated","INEFFECTIVE – repeat analysis")))</f>
        <v>Awaiting implementation</v>
      </c>
      <c r="S60" s="37" t="str">
        <f aca="true">IF($E60="","",SUMIFS(Register!$AB$5:$AB$304,Register!$Q$5:$Q$304,$E60,Register!$B$5:$B$304,"&lt;"&amp;IF($N60="",TODAY(),$N60)))</f>
        <v/>
      </c>
      <c r="T60" s="35"/>
    </row>
    <row r="61" customFormat="false" ht="30" hidden="false" customHeight="true" outlineLevel="0" collapsed="false">
      <c r="A61" s="33"/>
      <c r="B61" s="33"/>
      <c r="C61" s="32"/>
      <c r="D61" s="35"/>
      <c r="E61" s="35"/>
      <c r="F61" s="33"/>
      <c r="G61" s="35"/>
      <c r="H61" s="35"/>
      <c r="I61" s="35"/>
      <c r="J61" s="35"/>
      <c r="K61" s="33"/>
      <c r="L61" s="32"/>
      <c r="M61" s="33"/>
      <c r="N61" s="32"/>
      <c r="O61" s="41" t="str">
        <f aca="false">IF($N61="","",$N61+Settings!$C$27)</f>
        <v/>
      </c>
      <c r="P61" s="35"/>
      <c r="Q61" s="31" t="str">
        <f aca="false">IF(OR($E61="",$N61=""),"",COUNTIFS(Register!$Q$5:$Q$304,$E61,Register!$B$5:$B$304,"&gt;"&amp;$N61))</f>
        <v/>
      </c>
      <c r="R61" s="42" t="str">
        <f aca="true">IF($Q61="","Awaiting implementation",IF(TODAY()&lt;$O61,"Monitored until "&amp;TEXT($O61,"YYYY-MM-DD"),IF($Q61=0,"VERIFIED – cause eliminated","INEFFECTIVE – repeat analysis")))</f>
        <v>Awaiting implementation</v>
      </c>
      <c r="S61" s="37" t="str">
        <f aca="true">IF($E61="","",SUMIFS(Register!$AB$5:$AB$304,Register!$Q$5:$Q$304,$E61,Register!$B$5:$B$304,"&lt;"&amp;IF($N61="",TODAY(),$N61)))</f>
        <v/>
      </c>
      <c r="T61" s="35"/>
    </row>
    <row r="62" customFormat="false" ht="30" hidden="false" customHeight="true" outlineLevel="0" collapsed="false">
      <c r="A62" s="33"/>
      <c r="B62" s="33"/>
      <c r="C62" s="32"/>
      <c r="D62" s="35"/>
      <c r="E62" s="35"/>
      <c r="F62" s="33"/>
      <c r="G62" s="35"/>
      <c r="H62" s="35"/>
      <c r="I62" s="35"/>
      <c r="J62" s="35"/>
      <c r="K62" s="33"/>
      <c r="L62" s="32"/>
      <c r="M62" s="33"/>
      <c r="N62" s="32"/>
      <c r="O62" s="41" t="str">
        <f aca="false">IF($N62="","",$N62+Settings!$C$27)</f>
        <v/>
      </c>
      <c r="P62" s="35"/>
      <c r="Q62" s="31" t="str">
        <f aca="false">IF(OR($E62="",$N62=""),"",COUNTIFS(Register!$Q$5:$Q$304,$E62,Register!$B$5:$B$304,"&gt;"&amp;$N62))</f>
        <v/>
      </c>
      <c r="R62" s="42" t="str">
        <f aca="true">IF($Q62="","Awaiting implementation",IF(TODAY()&lt;$O62,"Monitored until "&amp;TEXT($O62,"YYYY-MM-DD"),IF($Q62=0,"VERIFIED – cause eliminated","INEFFECTIVE – repeat analysis")))</f>
        <v>Awaiting implementation</v>
      </c>
      <c r="S62" s="37" t="str">
        <f aca="true">IF($E62="","",SUMIFS(Register!$AB$5:$AB$304,Register!$Q$5:$Q$304,$E62,Register!$B$5:$B$304,"&lt;"&amp;IF($N62="",TODAY(),$N62)))</f>
        <v/>
      </c>
      <c r="T62" s="35"/>
    </row>
    <row r="63" customFormat="false" ht="30" hidden="false" customHeight="true" outlineLevel="0" collapsed="false">
      <c r="A63" s="33"/>
      <c r="B63" s="33"/>
      <c r="C63" s="32"/>
      <c r="D63" s="35"/>
      <c r="E63" s="35"/>
      <c r="F63" s="33"/>
      <c r="G63" s="35"/>
      <c r="H63" s="35"/>
      <c r="I63" s="35"/>
      <c r="J63" s="35"/>
      <c r="K63" s="33"/>
      <c r="L63" s="32"/>
      <c r="M63" s="33"/>
      <c r="N63" s="32"/>
      <c r="O63" s="41" t="str">
        <f aca="false">IF($N63="","",$N63+Settings!$C$27)</f>
        <v/>
      </c>
      <c r="P63" s="35"/>
      <c r="Q63" s="31" t="str">
        <f aca="false">IF(OR($E63="",$N63=""),"",COUNTIFS(Register!$Q$5:$Q$304,$E63,Register!$B$5:$B$304,"&gt;"&amp;$N63))</f>
        <v/>
      </c>
      <c r="R63" s="42" t="str">
        <f aca="true">IF($Q63="","Awaiting implementation",IF(TODAY()&lt;$O63,"Monitored until "&amp;TEXT($O63,"YYYY-MM-DD"),IF($Q63=0,"VERIFIED – cause eliminated","INEFFECTIVE – repeat analysis")))</f>
        <v>Awaiting implementation</v>
      </c>
      <c r="S63" s="37" t="str">
        <f aca="true">IF($E63="","",SUMIFS(Register!$AB$5:$AB$304,Register!$Q$5:$Q$304,$E63,Register!$B$5:$B$304,"&lt;"&amp;IF($N63="",TODAY(),$N63)))</f>
        <v/>
      </c>
      <c r="T63" s="35"/>
    </row>
    <row r="64" customFormat="false" ht="30" hidden="false" customHeight="true" outlineLevel="0" collapsed="false">
      <c r="A64" s="33"/>
      <c r="B64" s="33"/>
      <c r="C64" s="32"/>
      <c r="D64" s="35"/>
      <c r="E64" s="35"/>
      <c r="F64" s="33"/>
      <c r="G64" s="35"/>
      <c r="H64" s="35"/>
      <c r="I64" s="35"/>
      <c r="J64" s="35"/>
      <c r="K64" s="33"/>
      <c r="L64" s="32"/>
      <c r="M64" s="33"/>
      <c r="N64" s="32"/>
      <c r="O64" s="41" t="str">
        <f aca="false">IF($N64="","",$N64+Settings!$C$27)</f>
        <v/>
      </c>
      <c r="P64" s="35"/>
      <c r="Q64" s="31" t="str">
        <f aca="false">IF(OR($E64="",$N64=""),"",COUNTIFS(Register!$Q$5:$Q$304,$E64,Register!$B$5:$B$304,"&gt;"&amp;$N64))</f>
        <v/>
      </c>
      <c r="R64" s="42" t="str">
        <f aca="true">IF($Q64="","Awaiting implementation",IF(TODAY()&lt;$O64,"Monitored until "&amp;TEXT($O64,"YYYY-MM-DD"),IF($Q64=0,"VERIFIED – cause eliminated","INEFFECTIVE – repeat analysis")))</f>
        <v>Awaiting implementation</v>
      </c>
      <c r="S64" s="37" t="str">
        <f aca="true">IF($E64="","",SUMIFS(Register!$AB$5:$AB$304,Register!$Q$5:$Q$304,$E64,Register!$B$5:$B$304,"&lt;"&amp;IF($N64="",TODAY(),$N64)))</f>
        <v/>
      </c>
      <c r="T64" s="35"/>
    </row>
    <row r="65" customFormat="false" ht="30" hidden="false" customHeight="true" outlineLevel="0" collapsed="false">
      <c r="A65" s="33"/>
      <c r="B65" s="33"/>
      <c r="C65" s="32"/>
      <c r="D65" s="35"/>
      <c r="E65" s="35"/>
      <c r="F65" s="33"/>
      <c r="G65" s="35"/>
      <c r="H65" s="35"/>
      <c r="I65" s="35"/>
      <c r="J65" s="35"/>
      <c r="K65" s="33"/>
      <c r="L65" s="32"/>
      <c r="M65" s="33"/>
      <c r="N65" s="32"/>
      <c r="O65" s="41" t="str">
        <f aca="false">IF($N65="","",$N65+Settings!$C$27)</f>
        <v/>
      </c>
      <c r="P65" s="35"/>
      <c r="Q65" s="31" t="str">
        <f aca="false">IF(OR($E65="",$N65=""),"",COUNTIFS(Register!$Q$5:$Q$304,$E65,Register!$B$5:$B$304,"&gt;"&amp;$N65))</f>
        <v/>
      </c>
      <c r="R65" s="42" t="str">
        <f aca="true">IF($Q65="","Awaiting implementation",IF(TODAY()&lt;$O65,"Monitored until "&amp;TEXT($O65,"YYYY-MM-DD"),IF($Q65=0,"VERIFIED – cause eliminated","INEFFECTIVE – repeat analysis")))</f>
        <v>Awaiting implementation</v>
      </c>
      <c r="S65" s="37" t="str">
        <f aca="true">IF($E65="","",SUMIFS(Register!$AB$5:$AB$304,Register!$Q$5:$Q$304,$E65,Register!$B$5:$B$304,"&lt;"&amp;IF($N65="",TODAY(),$N65)))</f>
        <v/>
      </c>
      <c r="T65" s="35"/>
    </row>
    <row r="66" customFormat="false" ht="30" hidden="false" customHeight="true" outlineLevel="0" collapsed="false">
      <c r="A66" s="33"/>
      <c r="B66" s="33"/>
      <c r="C66" s="32"/>
      <c r="D66" s="35"/>
      <c r="E66" s="35"/>
      <c r="F66" s="33"/>
      <c r="G66" s="35"/>
      <c r="H66" s="35"/>
      <c r="I66" s="35"/>
      <c r="J66" s="35"/>
      <c r="K66" s="33"/>
      <c r="L66" s="32"/>
      <c r="M66" s="33"/>
      <c r="N66" s="32"/>
      <c r="O66" s="41" t="str">
        <f aca="false">IF($N66="","",$N66+Settings!$C$27)</f>
        <v/>
      </c>
      <c r="P66" s="35"/>
      <c r="Q66" s="31" t="str">
        <f aca="false">IF(OR($E66="",$N66=""),"",COUNTIFS(Register!$Q$5:$Q$304,$E66,Register!$B$5:$B$304,"&gt;"&amp;$N66))</f>
        <v/>
      </c>
      <c r="R66" s="42" t="str">
        <f aca="true">IF($Q66="","Awaiting implementation",IF(TODAY()&lt;$O66,"Monitored until "&amp;TEXT($O66,"YYYY-MM-DD"),IF($Q66=0,"VERIFIED – cause eliminated","INEFFECTIVE – repeat analysis")))</f>
        <v>Awaiting implementation</v>
      </c>
      <c r="S66" s="37" t="str">
        <f aca="true">IF($E66="","",SUMIFS(Register!$AB$5:$AB$304,Register!$Q$5:$Q$304,$E66,Register!$B$5:$B$304,"&lt;"&amp;IF($N66="",TODAY(),$N66)))</f>
        <v/>
      </c>
      <c r="T66" s="35"/>
    </row>
    <row r="67" customFormat="false" ht="30" hidden="false" customHeight="true" outlineLevel="0" collapsed="false">
      <c r="A67" s="33"/>
      <c r="B67" s="33"/>
      <c r="C67" s="32"/>
      <c r="D67" s="35"/>
      <c r="E67" s="35"/>
      <c r="F67" s="33"/>
      <c r="G67" s="35"/>
      <c r="H67" s="35"/>
      <c r="I67" s="35"/>
      <c r="J67" s="35"/>
      <c r="K67" s="33"/>
      <c r="L67" s="32"/>
      <c r="M67" s="33"/>
      <c r="N67" s="32"/>
      <c r="O67" s="41" t="str">
        <f aca="false">IF($N67="","",$N67+Settings!$C$27)</f>
        <v/>
      </c>
      <c r="P67" s="35"/>
      <c r="Q67" s="31" t="str">
        <f aca="false">IF(OR($E67="",$N67=""),"",COUNTIFS(Register!$Q$5:$Q$304,$E67,Register!$B$5:$B$304,"&gt;"&amp;$N67))</f>
        <v/>
      </c>
      <c r="R67" s="42" t="str">
        <f aca="true">IF($Q67="","Awaiting implementation",IF(TODAY()&lt;$O67,"Monitored until "&amp;TEXT($O67,"YYYY-MM-DD"),IF($Q67=0,"VERIFIED – cause eliminated","INEFFECTIVE – repeat analysis")))</f>
        <v>Awaiting implementation</v>
      </c>
      <c r="S67" s="37" t="str">
        <f aca="true">IF($E67="","",SUMIFS(Register!$AB$5:$AB$304,Register!$Q$5:$Q$304,$E67,Register!$B$5:$B$304,"&lt;"&amp;IF($N67="",TODAY(),$N67)))</f>
        <v/>
      </c>
      <c r="T67" s="35"/>
    </row>
    <row r="68" customFormat="false" ht="30" hidden="false" customHeight="true" outlineLevel="0" collapsed="false">
      <c r="A68" s="33"/>
      <c r="B68" s="33"/>
      <c r="C68" s="32"/>
      <c r="D68" s="35"/>
      <c r="E68" s="35"/>
      <c r="F68" s="33"/>
      <c r="G68" s="35"/>
      <c r="H68" s="35"/>
      <c r="I68" s="35"/>
      <c r="J68" s="35"/>
      <c r="K68" s="33"/>
      <c r="L68" s="32"/>
      <c r="M68" s="33"/>
      <c r="N68" s="32"/>
      <c r="O68" s="41" t="str">
        <f aca="false">IF($N68="","",$N68+Settings!$C$27)</f>
        <v/>
      </c>
      <c r="P68" s="35"/>
      <c r="Q68" s="31" t="str">
        <f aca="false">IF(OR($E68="",$N68=""),"",COUNTIFS(Register!$Q$5:$Q$304,$E68,Register!$B$5:$B$304,"&gt;"&amp;$N68))</f>
        <v/>
      </c>
      <c r="R68" s="42" t="str">
        <f aca="true">IF($Q68="","Awaiting implementation",IF(TODAY()&lt;$O68,"Monitored until "&amp;TEXT($O68,"YYYY-MM-DD"),IF($Q68=0,"VERIFIED – cause eliminated","INEFFECTIVE – repeat analysis")))</f>
        <v>Awaiting implementation</v>
      </c>
      <c r="S68" s="37" t="str">
        <f aca="true">IF($E68="","",SUMIFS(Register!$AB$5:$AB$304,Register!$Q$5:$Q$304,$E68,Register!$B$5:$B$304,"&lt;"&amp;IF($N68="",TODAY(),$N68)))</f>
        <v/>
      </c>
      <c r="T68" s="35"/>
    </row>
    <row r="69" customFormat="false" ht="30" hidden="false" customHeight="true" outlineLevel="0" collapsed="false">
      <c r="A69" s="33"/>
      <c r="B69" s="33"/>
      <c r="C69" s="32"/>
      <c r="D69" s="35"/>
      <c r="E69" s="35"/>
      <c r="F69" s="33"/>
      <c r="G69" s="35"/>
      <c r="H69" s="35"/>
      <c r="I69" s="35"/>
      <c r="J69" s="35"/>
      <c r="K69" s="33"/>
      <c r="L69" s="32"/>
      <c r="M69" s="33"/>
      <c r="N69" s="32"/>
      <c r="O69" s="41" t="str">
        <f aca="false">IF($N69="","",$N69+Settings!$C$27)</f>
        <v/>
      </c>
      <c r="P69" s="35"/>
      <c r="Q69" s="31" t="str">
        <f aca="false">IF(OR($E69="",$N69=""),"",COUNTIFS(Register!$Q$5:$Q$304,$E69,Register!$B$5:$B$304,"&gt;"&amp;$N69))</f>
        <v/>
      </c>
      <c r="R69" s="42" t="str">
        <f aca="true">IF($Q69="","Awaiting implementation",IF(TODAY()&lt;$O69,"Monitored until "&amp;TEXT($O69,"YYYY-MM-DD"),IF($Q69=0,"VERIFIED – cause eliminated","INEFFECTIVE – repeat analysis")))</f>
        <v>Awaiting implementation</v>
      </c>
      <c r="S69" s="37" t="str">
        <f aca="true">IF($E69="","",SUMIFS(Register!$AB$5:$AB$304,Register!$Q$5:$Q$304,$E69,Register!$B$5:$B$304,"&lt;"&amp;IF($N69="",TODAY(),$N69)))</f>
        <v/>
      </c>
      <c r="T69" s="35"/>
    </row>
    <row r="70" customFormat="false" ht="30" hidden="false" customHeight="true" outlineLevel="0" collapsed="false">
      <c r="A70" s="33"/>
      <c r="B70" s="33"/>
      <c r="C70" s="32"/>
      <c r="D70" s="35"/>
      <c r="E70" s="35"/>
      <c r="F70" s="33"/>
      <c r="G70" s="35"/>
      <c r="H70" s="35"/>
      <c r="I70" s="35"/>
      <c r="J70" s="35"/>
      <c r="K70" s="33"/>
      <c r="L70" s="32"/>
      <c r="M70" s="33"/>
      <c r="N70" s="32"/>
      <c r="O70" s="41" t="str">
        <f aca="false">IF($N70="","",$N70+Settings!$C$27)</f>
        <v/>
      </c>
      <c r="P70" s="35"/>
      <c r="Q70" s="31" t="str">
        <f aca="false">IF(OR($E70="",$N70=""),"",COUNTIFS(Register!$Q$5:$Q$304,$E70,Register!$B$5:$B$304,"&gt;"&amp;$N70))</f>
        <v/>
      </c>
      <c r="R70" s="42" t="str">
        <f aca="true">IF($Q70="","Awaiting implementation",IF(TODAY()&lt;$O70,"Monitored until "&amp;TEXT($O70,"YYYY-MM-DD"),IF($Q70=0,"VERIFIED – cause eliminated","INEFFECTIVE – repeat analysis")))</f>
        <v>Awaiting implementation</v>
      </c>
      <c r="S70" s="37" t="str">
        <f aca="true">IF($E70="","",SUMIFS(Register!$AB$5:$AB$304,Register!$Q$5:$Q$304,$E70,Register!$B$5:$B$304,"&lt;"&amp;IF($N70="",TODAY(),$N70)))</f>
        <v/>
      </c>
      <c r="T70" s="35"/>
    </row>
    <row r="71" customFormat="false" ht="30" hidden="false" customHeight="true" outlineLevel="0" collapsed="false">
      <c r="A71" s="33"/>
      <c r="B71" s="33"/>
      <c r="C71" s="32"/>
      <c r="D71" s="35"/>
      <c r="E71" s="35"/>
      <c r="F71" s="33"/>
      <c r="G71" s="35"/>
      <c r="H71" s="35"/>
      <c r="I71" s="35"/>
      <c r="J71" s="35"/>
      <c r="K71" s="33"/>
      <c r="L71" s="32"/>
      <c r="M71" s="33"/>
      <c r="N71" s="32"/>
      <c r="O71" s="41" t="str">
        <f aca="false">IF($N71="","",$N71+Settings!$C$27)</f>
        <v/>
      </c>
      <c r="P71" s="35"/>
      <c r="Q71" s="31" t="str">
        <f aca="false">IF(OR($E71="",$N71=""),"",COUNTIFS(Register!$Q$5:$Q$304,$E71,Register!$B$5:$B$304,"&gt;"&amp;$N71))</f>
        <v/>
      </c>
      <c r="R71" s="42" t="str">
        <f aca="true">IF($Q71="","Awaiting implementation",IF(TODAY()&lt;$O71,"Monitored until "&amp;TEXT($O71,"YYYY-MM-DD"),IF($Q71=0,"VERIFIED – cause eliminated","INEFFECTIVE – repeat analysis")))</f>
        <v>Awaiting implementation</v>
      </c>
      <c r="S71" s="37" t="str">
        <f aca="true">IF($E71="","",SUMIFS(Register!$AB$5:$AB$304,Register!$Q$5:$Q$304,$E71,Register!$B$5:$B$304,"&lt;"&amp;IF($N71="",TODAY(),$N71)))</f>
        <v/>
      </c>
      <c r="T71" s="35"/>
    </row>
    <row r="72" customFormat="false" ht="30" hidden="false" customHeight="true" outlineLevel="0" collapsed="false">
      <c r="A72" s="33"/>
      <c r="B72" s="33"/>
      <c r="C72" s="32"/>
      <c r="D72" s="35"/>
      <c r="E72" s="35"/>
      <c r="F72" s="33"/>
      <c r="G72" s="35"/>
      <c r="H72" s="35"/>
      <c r="I72" s="35"/>
      <c r="J72" s="35"/>
      <c r="K72" s="33"/>
      <c r="L72" s="32"/>
      <c r="M72" s="33"/>
      <c r="N72" s="32"/>
      <c r="O72" s="41" t="str">
        <f aca="false">IF($N72="","",$N72+Settings!$C$27)</f>
        <v/>
      </c>
      <c r="P72" s="35"/>
      <c r="Q72" s="31" t="str">
        <f aca="false">IF(OR($E72="",$N72=""),"",COUNTIFS(Register!$Q$5:$Q$304,$E72,Register!$B$5:$B$304,"&gt;"&amp;$N72))</f>
        <v/>
      </c>
      <c r="R72" s="42" t="str">
        <f aca="true">IF($Q72="","Awaiting implementation",IF(TODAY()&lt;$O72,"Monitored until "&amp;TEXT($O72,"YYYY-MM-DD"),IF($Q72=0,"VERIFIED – cause eliminated","INEFFECTIVE – repeat analysis")))</f>
        <v>Awaiting implementation</v>
      </c>
      <c r="S72" s="37" t="str">
        <f aca="true">IF($E72="","",SUMIFS(Register!$AB$5:$AB$304,Register!$Q$5:$Q$304,$E72,Register!$B$5:$B$304,"&lt;"&amp;IF($N72="",TODAY(),$N72)))</f>
        <v/>
      </c>
      <c r="T72" s="35"/>
    </row>
    <row r="73" customFormat="false" ht="30" hidden="false" customHeight="true" outlineLevel="0" collapsed="false">
      <c r="A73" s="33"/>
      <c r="B73" s="33"/>
      <c r="C73" s="32"/>
      <c r="D73" s="35"/>
      <c r="E73" s="35"/>
      <c r="F73" s="33"/>
      <c r="G73" s="35"/>
      <c r="H73" s="35"/>
      <c r="I73" s="35"/>
      <c r="J73" s="35"/>
      <c r="K73" s="33"/>
      <c r="L73" s="32"/>
      <c r="M73" s="33"/>
      <c r="N73" s="32"/>
      <c r="O73" s="41" t="str">
        <f aca="false">IF($N73="","",$N73+Settings!$C$27)</f>
        <v/>
      </c>
      <c r="P73" s="35"/>
      <c r="Q73" s="31" t="str">
        <f aca="false">IF(OR($E73="",$N73=""),"",COUNTIFS(Register!$Q$5:$Q$304,$E73,Register!$B$5:$B$304,"&gt;"&amp;$N73))</f>
        <v/>
      </c>
      <c r="R73" s="42" t="str">
        <f aca="true">IF($Q73="","Awaiting implementation",IF(TODAY()&lt;$O73,"Monitored until "&amp;TEXT($O73,"YYYY-MM-DD"),IF($Q73=0,"VERIFIED – cause eliminated","INEFFECTIVE – repeat analysis")))</f>
        <v>Awaiting implementation</v>
      </c>
      <c r="S73" s="37" t="str">
        <f aca="true">IF($E73="","",SUMIFS(Register!$AB$5:$AB$304,Register!$Q$5:$Q$304,$E73,Register!$B$5:$B$304,"&lt;"&amp;IF($N73="",TODAY(),$N73)))</f>
        <v/>
      </c>
      <c r="T73" s="35"/>
    </row>
    <row r="74" customFormat="false" ht="30" hidden="false" customHeight="true" outlineLevel="0" collapsed="false">
      <c r="A74" s="33"/>
      <c r="B74" s="33"/>
      <c r="C74" s="32"/>
      <c r="D74" s="35"/>
      <c r="E74" s="35"/>
      <c r="F74" s="33"/>
      <c r="G74" s="35"/>
      <c r="H74" s="35"/>
      <c r="I74" s="35"/>
      <c r="J74" s="35"/>
      <c r="K74" s="33"/>
      <c r="L74" s="32"/>
      <c r="M74" s="33"/>
      <c r="N74" s="32"/>
      <c r="O74" s="41" t="str">
        <f aca="false">IF($N74="","",$N74+Settings!$C$27)</f>
        <v/>
      </c>
      <c r="P74" s="35"/>
      <c r="Q74" s="31" t="str">
        <f aca="false">IF(OR($E74="",$N74=""),"",COUNTIFS(Register!$Q$5:$Q$304,$E74,Register!$B$5:$B$304,"&gt;"&amp;$N74))</f>
        <v/>
      </c>
      <c r="R74" s="42" t="str">
        <f aca="true">IF($Q74="","Awaiting implementation",IF(TODAY()&lt;$O74,"Monitored until "&amp;TEXT($O74,"YYYY-MM-DD"),IF($Q74=0,"VERIFIED – cause eliminated","INEFFECTIVE – repeat analysis")))</f>
        <v>Awaiting implementation</v>
      </c>
      <c r="S74" s="37" t="str">
        <f aca="true">IF($E74="","",SUMIFS(Register!$AB$5:$AB$304,Register!$Q$5:$Q$304,$E74,Register!$B$5:$B$304,"&lt;"&amp;IF($N74="",TODAY(),$N74)))</f>
        <v/>
      </c>
      <c r="T74" s="35"/>
    </row>
    <row r="75" customFormat="false" ht="30" hidden="false" customHeight="true" outlineLevel="0" collapsed="false">
      <c r="A75" s="33"/>
      <c r="B75" s="33"/>
      <c r="C75" s="32"/>
      <c r="D75" s="35"/>
      <c r="E75" s="35"/>
      <c r="F75" s="33"/>
      <c r="G75" s="35"/>
      <c r="H75" s="35"/>
      <c r="I75" s="35"/>
      <c r="J75" s="35"/>
      <c r="K75" s="33"/>
      <c r="L75" s="32"/>
      <c r="M75" s="33"/>
      <c r="N75" s="32"/>
      <c r="O75" s="41" t="str">
        <f aca="false">IF($N75="","",$N75+Settings!$C$27)</f>
        <v/>
      </c>
      <c r="P75" s="35"/>
      <c r="Q75" s="31" t="str">
        <f aca="false">IF(OR($E75="",$N75=""),"",COUNTIFS(Register!$Q$5:$Q$304,$E75,Register!$B$5:$B$304,"&gt;"&amp;$N75))</f>
        <v/>
      </c>
      <c r="R75" s="42" t="str">
        <f aca="true">IF($Q75="","Awaiting implementation",IF(TODAY()&lt;$O75,"Monitored until "&amp;TEXT($O75,"YYYY-MM-DD"),IF($Q75=0,"VERIFIED – cause eliminated","INEFFECTIVE – repeat analysis")))</f>
        <v>Awaiting implementation</v>
      </c>
      <c r="S75" s="37" t="str">
        <f aca="true">IF($E75="","",SUMIFS(Register!$AB$5:$AB$304,Register!$Q$5:$Q$304,$E75,Register!$B$5:$B$304,"&lt;"&amp;IF($N75="",TODAY(),$N75)))</f>
        <v/>
      </c>
      <c r="T75" s="35"/>
    </row>
    <row r="76" customFormat="false" ht="30" hidden="false" customHeight="true" outlineLevel="0" collapsed="false">
      <c r="A76" s="33"/>
      <c r="B76" s="33"/>
      <c r="C76" s="32"/>
      <c r="D76" s="35"/>
      <c r="E76" s="35"/>
      <c r="F76" s="33"/>
      <c r="G76" s="35"/>
      <c r="H76" s="35"/>
      <c r="I76" s="35"/>
      <c r="J76" s="35"/>
      <c r="K76" s="33"/>
      <c r="L76" s="32"/>
      <c r="M76" s="33"/>
      <c r="N76" s="32"/>
      <c r="O76" s="41" t="str">
        <f aca="false">IF($N76="","",$N76+Settings!$C$27)</f>
        <v/>
      </c>
      <c r="P76" s="35"/>
      <c r="Q76" s="31" t="str">
        <f aca="false">IF(OR($E76="",$N76=""),"",COUNTIFS(Register!$Q$5:$Q$304,$E76,Register!$B$5:$B$304,"&gt;"&amp;$N76))</f>
        <v/>
      </c>
      <c r="R76" s="42" t="str">
        <f aca="true">IF($Q76="","Awaiting implementation",IF(TODAY()&lt;$O76,"Monitored until "&amp;TEXT($O76,"YYYY-MM-DD"),IF($Q76=0,"VERIFIED – cause eliminated","INEFFECTIVE – repeat analysis")))</f>
        <v>Awaiting implementation</v>
      </c>
      <c r="S76" s="37" t="str">
        <f aca="true">IF($E76="","",SUMIFS(Register!$AB$5:$AB$304,Register!$Q$5:$Q$304,$E76,Register!$B$5:$B$304,"&lt;"&amp;IF($N76="",TODAY(),$N76)))</f>
        <v/>
      </c>
      <c r="T76" s="35"/>
    </row>
    <row r="77" customFormat="false" ht="30" hidden="false" customHeight="true" outlineLevel="0" collapsed="false">
      <c r="A77" s="33"/>
      <c r="B77" s="33"/>
      <c r="C77" s="32"/>
      <c r="D77" s="35"/>
      <c r="E77" s="35"/>
      <c r="F77" s="33"/>
      <c r="G77" s="35"/>
      <c r="H77" s="35"/>
      <c r="I77" s="35"/>
      <c r="J77" s="35"/>
      <c r="K77" s="33"/>
      <c r="L77" s="32"/>
      <c r="M77" s="33"/>
      <c r="N77" s="32"/>
      <c r="O77" s="41" t="str">
        <f aca="false">IF($N77="","",$N77+Settings!$C$27)</f>
        <v/>
      </c>
      <c r="P77" s="35"/>
      <c r="Q77" s="31" t="str">
        <f aca="false">IF(OR($E77="",$N77=""),"",COUNTIFS(Register!$Q$5:$Q$304,$E77,Register!$B$5:$B$304,"&gt;"&amp;$N77))</f>
        <v/>
      </c>
      <c r="R77" s="42" t="str">
        <f aca="true">IF($Q77="","Awaiting implementation",IF(TODAY()&lt;$O77,"Monitored until "&amp;TEXT($O77,"YYYY-MM-DD"),IF($Q77=0,"VERIFIED – cause eliminated","INEFFECTIVE – repeat analysis")))</f>
        <v>Awaiting implementation</v>
      </c>
      <c r="S77" s="37" t="str">
        <f aca="true">IF($E77="","",SUMIFS(Register!$AB$5:$AB$304,Register!$Q$5:$Q$304,$E77,Register!$B$5:$B$304,"&lt;"&amp;IF($N77="",TODAY(),$N77)))</f>
        <v/>
      </c>
      <c r="T77" s="35"/>
    </row>
    <row r="78" customFormat="false" ht="30" hidden="false" customHeight="true" outlineLevel="0" collapsed="false">
      <c r="A78" s="33"/>
      <c r="B78" s="33"/>
      <c r="C78" s="32"/>
      <c r="D78" s="35"/>
      <c r="E78" s="35"/>
      <c r="F78" s="33"/>
      <c r="G78" s="35"/>
      <c r="H78" s="35"/>
      <c r="I78" s="35"/>
      <c r="J78" s="35"/>
      <c r="K78" s="33"/>
      <c r="L78" s="32"/>
      <c r="M78" s="33"/>
      <c r="N78" s="32"/>
      <c r="O78" s="41" t="str">
        <f aca="false">IF($N78="","",$N78+Settings!$C$27)</f>
        <v/>
      </c>
      <c r="P78" s="35"/>
      <c r="Q78" s="31" t="str">
        <f aca="false">IF(OR($E78="",$N78=""),"",COUNTIFS(Register!$Q$5:$Q$304,$E78,Register!$B$5:$B$304,"&gt;"&amp;$N78))</f>
        <v/>
      </c>
      <c r="R78" s="42" t="str">
        <f aca="true">IF($Q78="","Awaiting implementation",IF(TODAY()&lt;$O78,"Monitored until "&amp;TEXT($O78,"YYYY-MM-DD"),IF($Q78=0,"VERIFIED – cause eliminated","INEFFECTIVE – repeat analysis")))</f>
        <v>Awaiting implementation</v>
      </c>
      <c r="S78" s="37" t="str">
        <f aca="true">IF($E78="","",SUMIFS(Register!$AB$5:$AB$304,Register!$Q$5:$Q$304,$E78,Register!$B$5:$B$304,"&lt;"&amp;IF($N78="",TODAY(),$N78)))</f>
        <v/>
      </c>
      <c r="T78" s="35"/>
    </row>
    <row r="79" customFormat="false" ht="30" hidden="false" customHeight="true" outlineLevel="0" collapsed="false">
      <c r="A79" s="33"/>
      <c r="B79" s="33"/>
      <c r="C79" s="32"/>
      <c r="D79" s="35"/>
      <c r="E79" s="35"/>
      <c r="F79" s="33"/>
      <c r="G79" s="35"/>
      <c r="H79" s="35"/>
      <c r="I79" s="35"/>
      <c r="J79" s="35"/>
      <c r="K79" s="33"/>
      <c r="L79" s="32"/>
      <c r="M79" s="33"/>
      <c r="N79" s="32"/>
      <c r="O79" s="41" t="str">
        <f aca="false">IF($N79="","",$N79+Settings!$C$27)</f>
        <v/>
      </c>
      <c r="P79" s="35"/>
      <c r="Q79" s="31" t="str">
        <f aca="false">IF(OR($E79="",$N79=""),"",COUNTIFS(Register!$Q$5:$Q$304,$E79,Register!$B$5:$B$304,"&gt;"&amp;$N79))</f>
        <v/>
      </c>
      <c r="R79" s="42" t="str">
        <f aca="true">IF($Q79="","Awaiting implementation",IF(TODAY()&lt;$O79,"Monitored until "&amp;TEXT($O79,"YYYY-MM-DD"),IF($Q79=0,"VERIFIED – cause eliminated","INEFFECTIVE – repeat analysis")))</f>
        <v>Awaiting implementation</v>
      </c>
      <c r="S79" s="37" t="str">
        <f aca="true">IF($E79="","",SUMIFS(Register!$AB$5:$AB$304,Register!$Q$5:$Q$304,$E79,Register!$B$5:$B$304,"&lt;"&amp;IF($N79="",TODAY(),$N79)))</f>
        <v/>
      </c>
      <c r="T79" s="35"/>
    </row>
    <row r="80" customFormat="false" ht="30" hidden="false" customHeight="true" outlineLevel="0" collapsed="false">
      <c r="A80" s="33"/>
      <c r="B80" s="33"/>
      <c r="C80" s="32"/>
      <c r="D80" s="35"/>
      <c r="E80" s="35"/>
      <c r="F80" s="33"/>
      <c r="G80" s="35"/>
      <c r="H80" s="35"/>
      <c r="I80" s="35"/>
      <c r="J80" s="35"/>
      <c r="K80" s="33"/>
      <c r="L80" s="32"/>
      <c r="M80" s="33"/>
      <c r="N80" s="32"/>
      <c r="O80" s="41" t="str">
        <f aca="false">IF($N80="","",$N80+Settings!$C$27)</f>
        <v/>
      </c>
      <c r="P80" s="35"/>
      <c r="Q80" s="31" t="str">
        <f aca="false">IF(OR($E80="",$N80=""),"",COUNTIFS(Register!$Q$5:$Q$304,$E80,Register!$B$5:$B$304,"&gt;"&amp;$N80))</f>
        <v/>
      </c>
      <c r="R80" s="42" t="str">
        <f aca="true">IF($Q80="","Awaiting implementation",IF(TODAY()&lt;$O80,"Monitored until "&amp;TEXT($O80,"YYYY-MM-DD"),IF($Q80=0,"VERIFIED – cause eliminated","INEFFECTIVE – repeat analysis")))</f>
        <v>Awaiting implementation</v>
      </c>
      <c r="S80" s="37" t="str">
        <f aca="true">IF($E80="","",SUMIFS(Register!$AB$5:$AB$304,Register!$Q$5:$Q$304,$E80,Register!$B$5:$B$304,"&lt;"&amp;IF($N80="",TODAY(),$N80)))</f>
        <v/>
      </c>
      <c r="T80" s="35"/>
    </row>
    <row r="81" customFormat="false" ht="30" hidden="false" customHeight="true" outlineLevel="0" collapsed="false">
      <c r="A81" s="33"/>
      <c r="B81" s="33"/>
      <c r="C81" s="32"/>
      <c r="D81" s="35"/>
      <c r="E81" s="35"/>
      <c r="F81" s="33"/>
      <c r="G81" s="35"/>
      <c r="H81" s="35"/>
      <c r="I81" s="35"/>
      <c r="J81" s="35"/>
      <c r="K81" s="33"/>
      <c r="L81" s="32"/>
      <c r="M81" s="33"/>
      <c r="N81" s="32"/>
      <c r="O81" s="41" t="str">
        <f aca="false">IF($N81="","",$N81+Settings!$C$27)</f>
        <v/>
      </c>
      <c r="P81" s="35"/>
      <c r="Q81" s="31" t="str">
        <f aca="false">IF(OR($E81="",$N81=""),"",COUNTIFS(Register!$Q$5:$Q$304,$E81,Register!$B$5:$B$304,"&gt;"&amp;$N81))</f>
        <v/>
      </c>
      <c r="R81" s="42" t="str">
        <f aca="true">IF($Q81="","Awaiting implementation",IF(TODAY()&lt;$O81,"Monitored until "&amp;TEXT($O81,"YYYY-MM-DD"),IF($Q81=0,"VERIFIED – cause eliminated","INEFFECTIVE – repeat analysis")))</f>
        <v>Awaiting implementation</v>
      </c>
      <c r="S81" s="37" t="str">
        <f aca="true">IF($E81="","",SUMIFS(Register!$AB$5:$AB$304,Register!$Q$5:$Q$304,$E81,Register!$B$5:$B$304,"&lt;"&amp;IF($N81="",TODAY(),$N81)))</f>
        <v/>
      </c>
      <c r="T81" s="35"/>
    </row>
    <row r="82" customFormat="false" ht="30" hidden="false" customHeight="true" outlineLevel="0" collapsed="false">
      <c r="A82" s="33"/>
      <c r="B82" s="33"/>
      <c r="C82" s="32"/>
      <c r="D82" s="35"/>
      <c r="E82" s="35"/>
      <c r="F82" s="33"/>
      <c r="G82" s="35"/>
      <c r="H82" s="35"/>
      <c r="I82" s="35"/>
      <c r="J82" s="35"/>
      <c r="K82" s="33"/>
      <c r="L82" s="32"/>
      <c r="M82" s="33"/>
      <c r="N82" s="32"/>
      <c r="O82" s="41" t="str">
        <f aca="false">IF($N82="","",$N82+Settings!$C$27)</f>
        <v/>
      </c>
      <c r="P82" s="35"/>
      <c r="Q82" s="31" t="str">
        <f aca="false">IF(OR($E82="",$N82=""),"",COUNTIFS(Register!$Q$5:$Q$304,$E82,Register!$B$5:$B$304,"&gt;"&amp;$N82))</f>
        <v/>
      </c>
      <c r="R82" s="42" t="str">
        <f aca="true">IF($Q82="","Awaiting implementation",IF(TODAY()&lt;$O82,"Monitored until "&amp;TEXT($O82,"YYYY-MM-DD"),IF($Q82=0,"VERIFIED – cause eliminated","INEFFECTIVE – repeat analysis")))</f>
        <v>Awaiting implementation</v>
      </c>
      <c r="S82" s="37" t="str">
        <f aca="true">IF($E82="","",SUMIFS(Register!$AB$5:$AB$304,Register!$Q$5:$Q$304,$E82,Register!$B$5:$B$304,"&lt;"&amp;IF($N82="",TODAY(),$N82)))</f>
        <v/>
      </c>
      <c r="T82" s="35"/>
    </row>
    <row r="83" customFormat="false" ht="30" hidden="false" customHeight="true" outlineLevel="0" collapsed="false">
      <c r="A83" s="33"/>
      <c r="B83" s="33"/>
      <c r="C83" s="32"/>
      <c r="D83" s="35"/>
      <c r="E83" s="35"/>
      <c r="F83" s="33"/>
      <c r="G83" s="35"/>
      <c r="H83" s="35"/>
      <c r="I83" s="35"/>
      <c r="J83" s="35"/>
      <c r="K83" s="33"/>
      <c r="L83" s="32"/>
      <c r="M83" s="33"/>
      <c r="N83" s="32"/>
      <c r="O83" s="41" t="str">
        <f aca="false">IF($N83="","",$N83+Settings!$C$27)</f>
        <v/>
      </c>
      <c r="P83" s="35"/>
      <c r="Q83" s="31" t="str">
        <f aca="false">IF(OR($E83="",$N83=""),"",COUNTIFS(Register!$Q$5:$Q$304,$E83,Register!$B$5:$B$304,"&gt;"&amp;$N83))</f>
        <v/>
      </c>
      <c r="R83" s="42" t="str">
        <f aca="true">IF($Q83="","Awaiting implementation",IF(TODAY()&lt;$O83,"Monitored until "&amp;TEXT($O83,"YYYY-MM-DD"),IF($Q83=0,"VERIFIED – cause eliminated","INEFFECTIVE – repeat analysis")))</f>
        <v>Awaiting implementation</v>
      </c>
      <c r="S83" s="37" t="str">
        <f aca="true">IF($E83="","",SUMIFS(Register!$AB$5:$AB$304,Register!$Q$5:$Q$304,$E83,Register!$B$5:$B$304,"&lt;"&amp;IF($N83="",TODAY(),$N83)))</f>
        <v/>
      </c>
      <c r="T83" s="35"/>
    </row>
    <row r="84" customFormat="false" ht="30" hidden="false" customHeight="true" outlineLevel="0" collapsed="false">
      <c r="A84" s="33"/>
      <c r="B84" s="33"/>
      <c r="C84" s="32"/>
      <c r="D84" s="35"/>
      <c r="E84" s="35"/>
      <c r="F84" s="33"/>
      <c r="G84" s="35"/>
      <c r="H84" s="35"/>
      <c r="I84" s="35"/>
      <c r="J84" s="35"/>
      <c r="K84" s="33"/>
      <c r="L84" s="32"/>
      <c r="M84" s="33"/>
      <c r="N84" s="32"/>
      <c r="O84" s="41" t="str">
        <f aca="false">IF($N84="","",$N84+Settings!$C$27)</f>
        <v/>
      </c>
      <c r="P84" s="35"/>
      <c r="Q84" s="31" t="str">
        <f aca="false">IF(OR($E84="",$N84=""),"",COUNTIFS(Register!$Q$5:$Q$304,$E84,Register!$B$5:$B$304,"&gt;"&amp;$N84))</f>
        <v/>
      </c>
      <c r="R84" s="42" t="str">
        <f aca="true">IF($Q84="","Awaiting implementation",IF(TODAY()&lt;$O84,"Monitored until "&amp;TEXT($O84,"YYYY-MM-DD"),IF($Q84=0,"VERIFIED – cause eliminated","INEFFECTIVE – repeat analysis")))</f>
        <v>Awaiting implementation</v>
      </c>
      <c r="S84" s="37" t="str">
        <f aca="true">IF($E84="","",SUMIFS(Register!$AB$5:$AB$304,Register!$Q$5:$Q$304,$E84,Register!$B$5:$B$304,"&lt;"&amp;IF($N84="",TODAY(),$N84)))</f>
        <v/>
      </c>
      <c r="T84" s="35"/>
    </row>
    <row r="85" customFormat="false" ht="30" hidden="false" customHeight="true" outlineLevel="0" collapsed="false">
      <c r="A85" s="33"/>
      <c r="B85" s="33"/>
      <c r="C85" s="32"/>
      <c r="D85" s="35"/>
      <c r="E85" s="35"/>
      <c r="F85" s="33"/>
      <c r="G85" s="35"/>
      <c r="H85" s="35"/>
      <c r="I85" s="35"/>
      <c r="J85" s="35"/>
      <c r="K85" s="33"/>
      <c r="L85" s="32"/>
      <c r="M85" s="33"/>
      <c r="N85" s="32"/>
      <c r="O85" s="41" t="str">
        <f aca="false">IF($N85="","",$N85+Settings!$C$27)</f>
        <v/>
      </c>
      <c r="P85" s="35"/>
      <c r="Q85" s="31" t="str">
        <f aca="false">IF(OR($E85="",$N85=""),"",COUNTIFS(Register!$Q$5:$Q$304,$E85,Register!$B$5:$B$304,"&gt;"&amp;$N85))</f>
        <v/>
      </c>
      <c r="R85" s="42" t="str">
        <f aca="true">IF($Q85="","Awaiting implementation",IF(TODAY()&lt;$O85,"Monitored until "&amp;TEXT($O85,"YYYY-MM-DD"),IF($Q85=0,"VERIFIED – cause eliminated","INEFFECTIVE – repeat analysis")))</f>
        <v>Awaiting implementation</v>
      </c>
      <c r="S85" s="37" t="str">
        <f aca="true">IF($E85="","",SUMIFS(Register!$AB$5:$AB$304,Register!$Q$5:$Q$304,$E85,Register!$B$5:$B$304,"&lt;"&amp;IF($N85="",TODAY(),$N85)))</f>
        <v/>
      </c>
      <c r="T85" s="35"/>
    </row>
    <row r="86" customFormat="false" ht="30" hidden="false" customHeight="true" outlineLevel="0" collapsed="false">
      <c r="A86" s="33"/>
      <c r="B86" s="33"/>
      <c r="C86" s="32"/>
      <c r="D86" s="35"/>
      <c r="E86" s="35"/>
      <c r="F86" s="33"/>
      <c r="G86" s="35"/>
      <c r="H86" s="35"/>
      <c r="I86" s="35"/>
      <c r="J86" s="35"/>
      <c r="K86" s="33"/>
      <c r="L86" s="32"/>
      <c r="M86" s="33"/>
      <c r="N86" s="32"/>
      <c r="O86" s="41" t="str">
        <f aca="false">IF($N86="","",$N86+Settings!$C$27)</f>
        <v/>
      </c>
      <c r="P86" s="35"/>
      <c r="Q86" s="31" t="str">
        <f aca="false">IF(OR($E86="",$N86=""),"",COUNTIFS(Register!$Q$5:$Q$304,$E86,Register!$B$5:$B$304,"&gt;"&amp;$N86))</f>
        <v/>
      </c>
      <c r="R86" s="42" t="str">
        <f aca="true">IF($Q86="","Awaiting implementation",IF(TODAY()&lt;$O86,"Monitored until "&amp;TEXT($O86,"YYYY-MM-DD"),IF($Q86=0,"VERIFIED – cause eliminated","INEFFECTIVE – repeat analysis")))</f>
        <v>Awaiting implementation</v>
      </c>
      <c r="S86" s="37" t="str">
        <f aca="true">IF($E86="","",SUMIFS(Register!$AB$5:$AB$304,Register!$Q$5:$Q$304,$E86,Register!$B$5:$B$304,"&lt;"&amp;IF($N86="",TODAY(),$N86)))</f>
        <v/>
      </c>
      <c r="T86" s="35"/>
    </row>
    <row r="87" customFormat="false" ht="30" hidden="false" customHeight="true" outlineLevel="0" collapsed="false">
      <c r="A87" s="33"/>
      <c r="B87" s="33"/>
      <c r="C87" s="32"/>
      <c r="D87" s="35"/>
      <c r="E87" s="35"/>
      <c r="F87" s="33"/>
      <c r="G87" s="35"/>
      <c r="H87" s="35"/>
      <c r="I87" s="35"/>
      <c r="J87" s="35"/>
      <c r="K87" s="33"/>
      <c r="L87" s="32"/>
      <c r="M87" s="33"/>
      <c r="N87" s="32"/>
      <c r="O87" s="41" t="str">
        <f aca="false">IF($N87="","",$N87+Settings!$C$27)</f>
        <v/>
      </c>
      <c r="P87" s="35"/>
      <c r="Q87" s="31" t="str">
        <f aca="false">IF(OR($E87="",$N87=""),"",COUNTIFS(Register!$Q$5:$Q$304,$E87,Register!$B$5:$B$304,"&gt;"&amp;$N87))</f>
        <v/>
      </c>
      <c r="R87" s="42" t="str">
        <f aca="true">IF($Q87="","Awaiting implementation",IF(TODAY()&lt;$O87,"Monitored until "&amp;TEXT($O87,"YYYY-MM-DD"),IF($Q87=0,"VERIFIED – cause eliminated","INEFFECTIVE – repeat analysis")))</f>
        <v>Awaiting implementation</v>
      </c>
      <c r="S87" s="37" t="str">
        <f aca="true">IF($E87="","",SUMIFS(Register!$AB$5:$AB$304,Register!$Q$5:$Q$304,$E87,Register!$B$5:$B$304,"&lt;"&amp;IF($N87="",TODAY(),$N87)))</f>
        <v/>
      </c>
      <c r="T87" s="35"/>
    </row>
    <row r="88" customFormat="false" ht="30" hidden="false" customHeight="true" outlineLevel="0" collapsed="false">
      <c r="A88" s="33"/>
      <c r="B88" s="33"/>
      <c r="C88" s="32"/>
      <c r="D88" s="35"/>
      <c r="E88" s="35"/>
      <c r="F88" s="33"/>
      <c r="G88" s="35"/>
      <c r="H88" s="35"/>
      <c r="I88" s="35"/>
      <c r="J88" s="35"/>
      <c r="K88" s="33"/>
      <c r="L88" s="32"/>
      <c r="M88" s="33"/>
      <c r="N88" s="32"/>
      <c r="O88" s="41" t="str">
        <f aca="false">IF($N88="","",$N88+Settings!$C$27)</f>
        <v/>
      </c>
      <c r="P88" s="35"/>
      <c r="Q88" s="31" t="str">
        <f aca="false">IF(OR($E88="",$N88=""),"",COUNTIFS(Register!$Q$5:$Q$304,$E88,Register!$B$5:$B$304,"&gt;"&amp;$N88))</f>
        <v/>
      </c>
      <c r="R88" s="42" t="str">
        <f aca="true">IF($Q88="","Awaiting implementation",IF(TODAY()&lt;$O88,"Monitored until "&amp;TEXT($O88,"YYYY-MM-DD"),IF($Q88=0,"VERIFIED – cause eliminated","INEFFECTIVE – repeat analysis")))</f>
        <v>Awaiting implementation</v>
      </c>
      <c r="S88" s="37" t="str">
        <f aca="true">IF($E88="","",SUMIFS(Register!$AB$5:$AB$304,Register!$Q$5:$Q$304,$E88,Register!$B$5:$B$304,"&lt;"&amp;IF($N88="",TODAY(),$N88)))</f>
        <v/>
      </c>
      <c r="T88" s="35"/>
    </row>
    <row r="89" customFormat="false" ht="30" hidden="false" customHeight="true" outlineLevel="0" collapsed="false">
      <c r="A89" s="33"/>
      <c r="B89" s="33"/>
      <c r="C89" s="32"/>
      <c r="D89" s="35"/>
      <c r="E89" s="35"/>
      <c r="F89" s="33"/>
      <c r="G89" s="35"/>
      <c r="H89" s="35"/>
      <c r="I89" s="35"/>
      <c r="J89" s="35"/>
      <c r="K89" s="33"/>
      <c r="L89" s="32"/>
      <c r="M89" s="33"/>
      <c r="N89" s="32"/>
      <c r="O89" s="41" t="str">
        <f aca="false">IF($N89="","",$N89+Settings!$C$27)</f>
        <v/>
      </c>
      <c r="P89" s="35"/>
      <c r="Q89" s="31" t="str">
        <f aca="false">IF(OR($E89="",$N89=""),"",COUNTIFS(Register!$Q$5:$Q$304,$E89,Register!$B$5:$B$304,"&gt;"&amp;$N89))</f>
        <v/>
      </c>
      <c r="R89" s="42" t="str">
        <f aca="true">IF($Q89="","Awaiting implementation",IF(TODAY()&lt;$O89,"Monitored until "&amp;TEXT($O89,"YYYY-MM-DD"),IF($Q89=0,"VERIFIED – cause eliminated","INEFFECTIVE – repeat analysis")))</f>
        <v>Awaiting implementation</v>
      </c>
      <c r="S89" s="37" t="str">
        <f aca="true">IF($E89="","",SUMIFS(Register!$AB$5:$AB$304,Register!$Q$5:$Q$304,$E89,Register!$B$5:$B$304,"&lt;"&amp;IF($N89="",TODAY(),$N89)))</f>
        <v/>
      </c>
      <c r="T89" s="35"/>
    </row>
    <row r="90" customFormat="false" ht="30" hidden="false" customHeight="true" outlineLevel="0" collapsed="false">
      <c r="A90" s="33"/>
      <c r="B90" s="33"/>
      <c r="C90" s="32"/>
      <c r="D90" s="35"/>
      <c r="E90" s="35"/>
      <c r="F90" s="33"/>
      <c r="G90" s="35"/>
      <c r="H90" s="35"/>
      <c r="I90" s="35"/>
      <c r="J90" s="35"/>
      <c r="K90" s="33"/>
      <c r="L90" s="32"/>
      <c r="M90" s="33"/>
      <c r="N90" s="32"/>
      <c r="O90" s="41" t="str">
        <f aca="false">IF($N90="","",$N90+Settings!$C$27)</f>
        <v/>
      </c>
      <c r="P90" s="35"/>
      <c r="Q90" s="31" t="str">
        <f aca="false">IF(OR($E90="",$N90=""),"",COUNTIFS(Register!$Q$5:$Q$304,$E90,Register!$B$5:$B$304,"&gt;"&amp;$N90))</f>
        <v/>
      </c>
      <c r="R90" s="42" t="str">
        <f aca="true">IF($Q90="","Awaiting implementation",IF(TODAY()&lt;$O90,"Monitored until "&amp;TEXT($O90,"YYYY-MM-DD"),IF($Q90=0,"VERIFIED – cause eliminated","INEFFECTIVE – repeat analysis")))</f>
        <v>Awaiting implementation</v>
      </c>
      <c r="S90" s="37" t="str">
        <f aca="true">IF($E90="","",SUMIFS(Register!$AB$5:$AB$304,Register!$Q$5:$Q$304,$E90,Register!$B$5:$B$304,"&lt;"&amp;IF($N90="",TODAY(),$N90)))</f>
        <v/>
      </c>
      <c r="T90" s="35"/>
    </row>
    <row r="91" customFormat="false" ht="30" hidden="false" customHeight="true" outlineLevel="0" collapsed="false">
      <c r="A91" s="33"/>
      <c r="B91" s="33"/>
      <c r="C91" s="32"/>
      <c r="D91" s="35"/>
      <c r="E91" s="35"/>
      <c r="F91" s="33"/>
      <c r="G91" s="35"/>
      <c r="H91" s="35"/>
      <c r="I91" s="35"/>
      <c r="J91" s="35"/>
      <c r="K91" s="33"/>
      <c r="L91" s="32"/>
      <c r="M91" s="33"/>
      <c r="N91" s="32"/>
      <c r="O91" s="41" t="str">
        <f aca="false">IF($N91="","",$N91+Settings!$C$27)</f>
        <v/>
      </c>
      <c r="P91" s="35"/>
      <c r="Q91" s="31" t="str">
        <f aca="false">IF(OR($E91="",$N91=""),"",COUNTIFS(Register!$Q$5:$Q$304,$E91,Register!$B$5:$B$304,"&gt;"&amp;$N91))</f>
        <v/>
      </c>
      <c r="R91" s="42" t="str">
        <f aca="true">IF($Q91="","Awaiting implementation",IF(TODAY()&lt;$O91,"Monitored until "&amp;TEXT($O91,"YYYY-MM-DD"),IF($Q91=0,"VERIFIED – cause eliminated","INEFFECTIVE – repeat analysis")))</f>
        <v>Awaiting implementation</v>
      </c>
      <c r="S91" s="37" t="str">
        <f aca="true">IF($E91="","",SUMIFS(Register!$AB$5:$AB$304,Register!$Q$5:$Q$304,$E91,Register!$B$5:$B$304,"&lt;"&amp;IF($N91="",TODAY(),$N91)))</f>
        <v/>
      </c>
      <c r="T91" s="35"/>
    </row>
    <row r="92" customFormat="false" ht="30" hidden="false" customHeight="true" outlineLevel="0" collapsed="false">
      <c r="A92" s="33"/>
      <c r="B92" s="33"/>
      <c r="C92" s="32"/>
      <c r="D92" s="35"/>
      <c r="E92" s="35"/>
      <c r="F92" s="33"/>
      <c r="G92" s="35"/>
      <c r="H92" s="35"/>
      <c r="I92" s="35"/>
      <c r="J92" s="35"/>
      <c r="K92" s="33"/>
      <c r="L92" s="32"/>
      <c r="M92" s="33"/>
      <c r="N92" s="32"/>
      <c r="O92" s="41" t="str">
        <f aca="false">IF($N92="","",$N92+Settings!$C$27)</f>
        <v/>
      </c>
      <c r="P92" s="35"/>
      <c r="Q92" s="31" t="str">
        <f aca="false">IF(OR($E92="",$N92=""),"",COUNTIFS(Register!$Q$5:$Q$304,$E92,Register!$B$5:$B$304,"&gt;"&amp;$N92))</f>
        <v/>
      </c>
      <c r="R92" s="42" t="str">
        <f aca="true">IF($Q92="","Awaiting implementation",IF(TODAY()&lt;$O92,"Monitored until "&amp;TEXT($O92,"YYYY-MM-DD"),IF($Q92=0,"VERIFIED – cause eliminated","INEFFECTIVE – repeat analysis")))</f>
        <v>Awaiting implementation</v>
      </c>
      <c r="S92" s="37" t="str">
        <f aca="true">IF($E92="","",SUMIFS(Register!$AB$5:$AB$304,Register!$Q$5:$Q$304,$E92,Register!$B$5:$B$304,"&lt;"&amp;IF($N92="",TODAY(),$N92)))</f>
        <v/>
      </c>
      <c r="T92" s="35"/>
    </row>
    <row r="93" customFormat="false" ht="30" hidden="false" customHeight="true" outlineLevel="0" collapsed="false">
      <c r="A93" s="33"/>
      <c r="B93" s="33"/>
      <c r="C93" s="32"/>
      <c r="D93" s="35"/>
      <c r="E93" s="35"/>
      <c r="F93" s="33"/>
      <c r="G93" s="35"/>
      <c r="H93" s="35"/>
      <c r="I93" s="35"/>
      <c r="J93" s="35"/>
      <c r="K93" s="33"/>
      <c r="L93" s="32"/>
      <c r="M93" s="33"/>
      <c r="N93" s="32"/>
      <c r="O93" s="41" t="str">
        <f aca="false">IF($N93="","",$N93+Settings!$C$27)</f>
        <v/>
      </c>
      <c r="P93" s="35"/>
      <c r="Q93" s="31" t="str">
        <f aca="false">IF(OR($E93="",$N93=""),"",COUNTIFS(Register!$Q$5:$Q$304,$E93,Register!$B$5:$B$304,"&gt;"&amp;$N93))</f>
        <v/>
      </c>
      <c r="R93" s="42" t="str">
        <f aca="true">IF($Q93="","Awaiting implementation",IF(TODAY()&lt;$O93,"Monitored until "&amp;TEXT($O93,"YYYY-MM-DD"),IF($Q93=0,"VERIFIED – cause eliminated","INEFFECTIVE – repeat analysis")))</f>
        <v>Awaiting implementation</v>
      </c>
      <c r="S93" s="37" t="str">
        <f aca="true">IF($E93="","",SUMIFS(Register!$AB$5:$AB$304,Register!$Q$5:$Q$304,$E93,Register!$B$5:$B$304,"&lt;"&amp;IF($N93="",TODAY(),$N93)))</f>
        <v/>
      </c>
      <c r="T93" s="35"/>
    </row>
    <row r="94" customFormat="false" ht="30" hidden="false" customHeight="true" outlineLevel="0" collapsed="false">
      <c r="A94" s="33"/>
      <c r="B94" s="33"/>
      <c r="C94" s="32"/>
      <c r="D94" s="35"/>
      <c r="E94" s="35"/>
      <c r="F94" s="33"/>
      <c r="G94" s="35"/>
      <c r="H94" s="35"/>
      <c r="I94" s="35"/>
      <c r="J94" s="35"/>
      <c r="K94" s="33"/>
      <c r="L94" s="32"/>
      <c r="M94" s="33"/>
      <c r="N94" s="32"/>
      <c r="O94" s="41" t="str">
        <f aca="false">IF($N94="","",$N94+Settings!$C$27)</f>
        <v/>
      </c>
      <c r="P94" s="35"/>
      <c r="Q94" s="31" t="str">
        <f aca="false">IF(OR($E94="",$N94=""),"",COUNTIFS(Register!$Q$5:$Q$304,$E94,Register!$B$5:$B$304,"&gt;"&amp;$N94))</f>
        <v/>
      </c>
      <c r="R94" s="42" t="str">
        <f aca="true">IF($Q94="","Awaiting implementation",IF(TODAY()&lt;$O94,"Monitored until "&amp;TEXT($O94,"YYYY-MM-DD"),IF($Q94=0,"VERIFIED – cause eliminated","INEFFECTIVE – repeat analysis")))</f>
        <v>Awaiting implementation</v>
      </c>
      <c r="S94" s="37" t="str">
        <f aca="true">IF($E94="","",SUMIFS(Register!$AB$5:$AB$304,Register!$Q$5:$Q$304,$E94,Register!$B$5:$B$304,"&lt;"&amp;IF($N94="",TODAY(),$N94)))</f>
        <v/>
      </c>
      <c r="T94" s="35"/>
    </row>
    <row r="95" customFormat="false" ht="30" hidden="false" customHeight="true" outlineLevel="0" collapsed="false">
      <c r="A95" s="33"/>
      <c r="B95" s="33"/>
      <c r="C95" s="32"/>
      <c r="D95" s="35"/>
      <c r="E95" s="35"/>
      <c r="F95" s="33"/>
      <c r="G95" s="35"/>
      <c r="H95" s="35"/>
      <c r="I95" s="35"/>
      <c r="J95" s="35"/>
      <c r="K95" s="33"/>
      <c r="L95" s="32"/>
      <c r="M95" s="33"/>
      <c r="N95" s="32"/>
      <c r="O95" s="41" t="str">
        <f aca="false">IF($N95="","",$N95+Settings!$C$27)</f>
        <v/>
      </c>
      <c r="P95" s="35"/>
      <c r="Q95" s="31" t="str">
        <f aca="false">IF(OR($E95="",$N95=""),"",COUNTIFS(Register!$Q$5:$Q$304,$E95,Register!$B$5:$B$304,"&gt;"&amp;$N95))</f>
        <v/>
      </c>
      <c r="R95" s="42" t="str">
        <f aca="true">IF($Q95="","Awaiting implementation",IF(TODAY()&lt;$O95,"Monitored until "&amp;TEXT($O95,"YYYY-MM-DD"),IF($Q95=0,"VERIFIED – cause eliminated","INEFFECTIVE – repeat analysis")))</f>
        <v>Awaiting implementation</v>
      </c>
      <c r="S95" s="37" t="str">
        <f aca="true">IF($E95="","",SUMIFS(Register!$AB$5:$AB$304,Register!$Q$5:$Q$304,$E95,Register!$B$5:$B$304,"&lt;"&amp;IF($N95="",TODAY(),$N95)))</f>
        <v/>
      </c>
      <c r="T95" s="35"/>
    </row>
    <row r="96" customFormat="false" ht="30" hidden="false" customHeight="true" outlineLevel="0" collapsed="false">
      <c r="A96" s="33"/>
      <c r="B96" s="33"/>
      <c r="C96" s="32"/>
      <c r="D96" s="35"/>
      <c r="E96" s="35"/>
      <c r="F96" s="33"/>
      <c r="G96" s="35"/>
      <c r="H96" s="35"/>
      <c r="I96" s="35"/>
      <c r="J96" s="35"/>
      <c r="K96" s="33"/>
      <c r="L96" s="32"/>
      <c r="M96" s="33"/>
      <c r="N96" s="32"/>
      <c r="O96" s="41" t="str">
        <f aca="false">IF($N96="","",$N96+Settings!$C$27)</f>
        <v/>
      </c>
      <c r="P96" s="35"/>
      <c r="Q96" s="31" t="str">
        <f aca="false">IF(OR($E96="",$N96=""),"",COUNTIFS(Register!$Q$5:$Q$304,$E96,Register!$B$5:$B$304,"&gt;"&amp;$N96))</f>
        <v/>
      </c>
      <c r="R96" s="42" t="str">
        <f aca="true">IF($Q96="","Awaiting implementation",IF(TODAY()&lt;$O96,"Monitored until "&amp;TEXT($O96,"YYYY-MM-DD"),IF($Q96=0,"VERIFIED – cause eliminated","INEFFECTIVE – repeat analysis")))</f>
        <v>Awaiting implementation</v>
      </c>
      <c r="S96" s="37" t="str">
        <f aca="true">IF($E96="","",SUMIFS(Register!$AB$5:$AB$304,Register!$Q$5:$Q$304,$E96,Register!$B$5:$B$304,"&lt;"&amp;IF($N96="",TODAY(),$N96)))</f>
        <v/>
      </c>
      <c r="T96" s="35"/>
    </row>
    <row r="97" customFormat="false" ht="30" hidden="false" customHeight="true" outlineLevel="0" collapsed="false">
      <c r="A97" s="33"/>
      <c r="B97" s="33"/>
      <c r="C97" s="32"/>
      <c r="D97" s="35"/>
      <c r="E97" s="35"/>
      <c r="F97" s="33"/>
      <c r="G97" s="35"/>
      <c r="H97" s="35"/>
      <c r="I97" s="35"/>
      <c r="J97" s="35"/>
      <c r="K97" s="33"/>
      <c r="L97" s="32"/>
      <c r="M97" s="33"/>
      <c r="N97" s="32"/>
      <c r="O97" s="41" t="str">
        <f aca="false">IF($N97="","",$N97+Settings!$C$27)</f>
        <v/>
      </c>
      <c r="P97" s="35"/>
      <c r="Q97" s="31" t="str">
        <f aca="false">IF(OR($E97="",$N97=""),"",COUNTIFS(Register!$Q$5:$Q$304,$E97,Register!$B$5:$B$304,"&gt;"&amp;$N97))</f>
        <v/>
      </c>
      <c r="R97" s="42" t="str">
        <f aca="true">IF($Q97="","Awaiting implementation",IF(TODAY()&lt;$O97,"Monitored until "&amp;TEXT($O97,"YYYY-MM-DD"),IF($Q97=0,"VERIFIED – cause eliminated","INEFFECTIVE – repeat analysis")))</f>
        <v>Awaiting implementation</v>
      </c>
      <c r="S97" s="37" t="str">
        <f aca="true">IF($E97="","",SUMIFS(Register!$AB$5:$AB$304,Register!$Q$5:$Q$304,$E97,Register!$B$5:$B$304,"&lt;"&amp;IF($N97="",TODAY(),$N97)))</f>
        <v/>
      </c>
      <c r="T97" s="35"/>
    </row>
    <row r="98" customFormat="false" ht="30" hidden="false" customHeight="true" outlineLevel="0" collapsed="false">
      <c r="A98" s="33"/>
      <c r="B98" s="33"/>
      <c r="C98" s="32"/>
      <c r="D98" s="35"/>
      <c r="E98" s="35"/>
      <c r="F98" s="33"/>
      <c r="G98" s="35"/>
      <c r="H98" s="35"/>
      <c r="I98" s="35"/>
      <c r="J98" s="35"/>
      <c r="K98" s="33"/>
      <c r="L98" s="32"/>
      <c r="M98" s="33"/>
      <c r="N98" s="32"/>
      <c r="O98" s="41" t="str">
        <f aca="false">IF($N98="","",$N98+Settings!$C$27)</f>
        <v/>
      </c>
      <c r="P98" s="35"/>
      <c r="Q98" s="31" t="str">
        <f aca="false">IF(OR($E98="",$N98=""),"",COUNTIFS(Register!$Q$5:$Q$304,$E98,Register!$B$5:$B$304,"&gt;"&amp;$N98))</f>
        <v/>
      </c>
      <c r="R98" s="42" t="str">
        <f aca="true">IF($Q98="","Awaiting implementation",IF(TODAY()&lt;$O98,"Monitored until "&amp;TEXT($O98,"YYYY-MM-DD"),IF($Q98=0,"VERIFIED – cause eliminated","INEFFECTIVE – repeat analysis")))</f>
        <v>Awaiting implementation</v>
      </c>
      <c r="S98" s="37" t="str">
        <f aca="true">IF($E98="","",SUMIFS(Register!$AB$5:$AB$304,Register!$Q$5:$Q$304,$E98,Register!$B$5:$B$304,"&lt;"&amp;IF($N98="",TODAY(),$N98)))</f>
        <v/>
      </c>
      <c r="T98" s="35"/>
    </row>
    <row r="99" customFormat="false" ht="30" hidden="false" customHeight="true" outlineLevel="0" collapsed="false">
      <c r="A99" s="33"/>
      <c r="B99" s="33"/>
      <c r="C99" s="32"/>
      <c r="D99" s="35"/>
      <c r="E99" s="35"/>
      <c r="F99" s="33"/>
      <c r="G99" s="35"/>
      <c r="H99" s="35"/>
      <c r="I99" s="35"/>
      <c r="J99" s="35"/>
      <c r="K99" s="33"/>
      <c r="L99" s="32"/>
      <c r="M99" s="33"/>
      <c r="N99" s="32"/>
      <c r="O99" s="41" t="str">
        <f aca="false">IF($N99="","",$N99+Settings!$C$27)</f>
        <v/>
      </c>
      <c r="P99" s="35"/>
      <c r="Q99" s="31" t="str">
        <f aca="false">IF(OR($E99="",$N99=""),"",COUNTIFS(Register!$Q$5:$Q$304,$E99,Register!$B$5:$B$304,"&gt;"&amp;$N99))</f>
        <v/>
      </c>
      <c r="R99" s="42" t="str">
        <f aca="true">IF($Q99="","Awaiting implementation",IF(TODAY()&lt;$O99,"Monitored until "&amp;TEXT($O99,"YYYY-MM-DD"),IF($Q99=0,"VERIFIED – cause eliminated","INEFFECTIVE – repeat analysis")))</f>
        <v>Awaiting implementation</v>
      </c>
      <c r="S99" s="37" t="str">
        <f aca="true">IF($E99="","",SUMIFS(Register!$AB$5:$AB$304,Register!$Q$5:$Q$304,$E99,Register!$B$5:$B$304,"&lt;"&amp;IF($N99="",TODAY(),$N99)))</f>
        <v/>
      </c>
      <c r="T99" s="35"/>
    </row>
    <row r="100" customFormat="false" ht="30" hidden="false" customHeight="true" outlineLevel="0" collapsed="false">
      <c r="A100" s="33"/>
      <c r="B100" s="33"/>
      <c r="C100" s="32"/>
      <c r="D100" s="35"/>
      <c r="E100" s="35"/>
      <c r="F100" s="33"/>
      <c r="G100" s="35"/>
      <c r="H100" s="35"/>
      <c r="I100" s="35"/>
      <c r="J100" s="35"/>
      <c r="K100" s="33"/>
      <c r="L100" s="32"/>
      <c r="M100" s="33"/>
      <c r="N100" s="32"/>
      <c r="O100" s="41" t="str">
        <f aca="false">IF($N100="","",$N100+Settings!$C$27)</f>
        <v/>
      </c>
      <c r="P100" s="35"/>
      <c r="Q100" s="31" t="str">
        <f aca="false">IF(OR($E100="",$N100=""),"",COUNTIFS(Register!$Q$5:$Q$304,$E100,Register!$B$5:$B$304,"&gt;"&amp;$N100))</f>
        <v/>
      </c>
      <c r="R100" s="42" t="str">
        <f aca="true">IF($Q100="","Awaiting implementation",IF(TODAY()&lt;$O100,"Monitored until "&amp;TEXT($O100,"YYYY-MM-DD"),IF($Q100=0,"VERIFIED – cause eliminated","INEFFECTIVE – repeat analysis")))</f>
        <v>Awaiting implementation</v>
      </c>
      <c r="S100" s="37" t="str">
        <f aca="true">IF($E100="","",SUMIFS(Register!$AB$5:$AB$304,Register!$Q$5:$Q$304,$E100,Register!$B$5:$B$304,"&lt;"&amp;IF($N100="",TODAY(),$N100)))</f>
        <v/>
      </c>
      <c r="T100" s="35"/>
    </row>
    <row r="101" customFormat="false" ht="30" hidden="false" customHeight="true" outlineLevel="0" collapsed="false">
      <c r="A101" s="33"/>
      <c r="B101" s="33"/>
      <c r="C101" s="32"/>
      <c r="D101" s="35"/>
      <c r="E101" s="35"/>
      <c r="F101" s="33"/>
      <c r="G101" s="35"/>
      <c r="H101" s="35"/>
      <c r="I101" s="35"/>
      <c r="J101" s="35"/>
      <c r="K101" s="33"/>
      <c r="L101" s="32"/>
      <c r="M101" s="33"/>
      <c r="N101" s="32"/>
      <c r="O101" s="41" t="str">
        <f aca="false">IF($N101="","",$N101+Settings!$C$27)</f>
        <v/>
      </c>
      <c r="P101" s="35"/>
      <c r="Q101" s="31" t="str">
        <f aca="false">IF(OR($E101="",$N101=""),"",COUNTIFS(Register!$Q$5:$Q$304,$E101,Register!$B$5:$B$304,"&gt;"&amp;$N101))</f>
        <v/>
      </c>
      <c r="R101" s="42" t="str">
        <f aca="true">IF($Q101="","Awaiting implementation",IF(TODAY()&lt;$O101,"Monitored until "&amp;TEXT($O101,"YYYY-MM-DD"),IF($Q101=0,"VERIFIED – cause eliminated","INEFFECTIVE – repeat analysis")))</f>
        <v>Awaiting implementation</v>
      </c>
      <c r="S101" s="37" t="str">
        <f aca="true">IF($E101="","",SUMIFS(Register!$AB$5:$AB$304,Register!$Q$5:$Q$304,$E101,Register!$B$5:$B$304,"&lt;"&amp;IF($N101="",TODAY(),$N101)))</f>
        <v/>
      </c>
      <c r="T101" s="35"/>
    </row>
    <row r="102" customFormat="false" ht="30" hidden="false" customHeight="true" outlineLevel="0" collapsed="false">
      <c r="A102" s="33"/>
      <c r="B102" s="33"/>
      <c r="C102" s="32"/>
      <c r="D102" s="35"/>
      <c r="E102" s="35"/>
      <c r="F102" s="33"/>
      <c r="G102" s="35"/>
      <c r="H102" s="35"/>
      <c r="I102" s="35"/>
      <c r="J102" s="35"/>
      <c r="K102" s="33"/>
      <c r="L102" s="32"/>
      <c r="M102" s="33"/>
      <c r="N102" s="32"/>
      <c r="O102" s="41" t="str">
        <f aca="false">IF($N102="","",$N102+Settings!$C$27)</f>
        <v/>
      </c>
      <c r="P102" s="35"/>
      <c r="Q102" s="31" t="str">
        <f aca="false">IF(OR($E102="",$N102=""),"",COUNTIFS(Register!$Q$5:$Q$304,$E102,Register!$B$5:$B$304,"&gt;"&amp;$N102))</f>
        <v/>
      </c>
      <c r="R102" s="42" t="str">
        <f aca="true">IF($Q102="","Awaiting implementation",IF(TODAY()&lt;$O102,"Monitored until "&amp;TEXT($O102,"YYYY-MM-DD"),IF($Q102=0,"VERIFIED – cause eliminated","INEFFECTIVE – repeat analysis")))</f>
        <v>Awaiting implementation</v>
      </c>
      <c r="S102" s="37" t="str">
        <f aca="true">IF($E102="","",SUMIFS(Register!$AB$5:$AB$304,Register!$Q$5:$Q$304,$E102,Register!$B$5:$B$304,"&lt;"&amp;IF($N102="",TODAY(),$N102)))</f>
        <v/>
      </c>
      <c r="T102" s="35"/>
    </row>
    <row r="103" customFormat="false" ht="30" hidden="false" customHeight="true" outlineLevel="0" collapsed="false">
      <c r="A103" s="33"/>
      <c r="B103" s="33"/>
      <c r="C103" s="32"/>
      <c r="D103" s="35"/>
      <c r="E103" s="35"/>
      <c r="F103" s="33"/>
      <c r="G103" s="35"/>
      <c r="H103" s="35"/>
      <c r="I103" s="35"/>
      <c r="J103" s="35"/>
      <c r="K103" s="33"/>
      <c r="L103" s="32"/>
      <c r="M103" s="33"/>
      <c r="N103" s="32"/>
      <c r="O103" s="41" t="str">
        <f aca="false">IF($N103="","",$N103+Settings!$C$27)</f>
        <v/>
      </c>
      <c r="P103" s="35"/>
      <c r="Q103" s="31" t="str">
        <f aca="false">IF(OR($E103="",$N103=""),"",COUNTIFS(Register!$Q$5:$Q$304,$E103,Register!$B$5:$B$304,"&gt;"&amp;$N103))</f>
        <v/>
      </c>
      <c r="R103" s="42" t="str">
        <f aca="true">IF($Q103="","Awaiting implementation",IF(TODAY()&lt;$O103,"Monitored until "&amp;TEXT($O103,"YYYY-MM-DD"),IF($Q103=0,"VERIFIED – cause eliminated","INEFFECTIVE – repeat analysis")))</f>
        <v>Awaiting implementation</v>
      </c>
      <c r="S103" s="37" t="str">
        <f aca="true">IF($E103="","",SUMIFS(Register!$AB$5:$AB$304,Register!$Q$5:$Q$304,$E103,Register!$B$5:$B$304,"&lt;"&amp;IF($N103="",TODAY(),$N103)))</f>
        <v/>
      </c>
      <c r="T103" s="35"/>
    </row>
    <row r="104" customFormat="false" ht="30" hidden="false" customHeight="true" outlineLevel="0" collapsed="false">
      <c r="A104" s="33"/>
      <c r="B104" s="33"/>
      <c r="C104" s="32"/>
      <c r="D104" s="35"/>
      <c r="E104" s="35"/>
      <c r="F104" s="33"/>
      <c r="G104" s="35"/>
      <c r="H104" s="35"/>
      <c r="I104" s="35"/>
      <c r="J104" s="35"/>
      <c r="K104" s="33"/>
      <c r="L104" s="32"/>
      <c r="M104" s="33"/>
      <c r="N104" s="32"/>
      <c r="O104" s="41" t="str">
        <f aca="false">IF($N104="","",$N104+Settings!$C$27)</f>
        <v/>
      </c>
      <c r="P104" s="35"/>
      <c r="Q104" s="31" t="str">
        <f aca="false">IF(OR($E104="",$N104=""),"",COUNTIFS(Register!$Q$5:$Q$304,$E104,Register!$B$5:$B$304,"&gt;"&amp;$N104))</f>
        <v/>
      </c>
      <c r="R104" s="42" t="str">
        <f aca="true">IF($Q104="","Awaiting implementation",IF(TODAY()&lt;$O104,"Monitored until "&amp;TEXT($O104,"YYYY-MM-DD"),IF($Q104=0,"VERIFIED – cause eliminated","INEFFECTIVE – repeat analysis")))</f>
        <v>Awaiting implementation</v>
      </c>
      <c r="S104" s="37" t="str">
        <f aca="true">IF($E104="","",SUMIFS(Register!$AB$5:$AB$304,Register!$Q$5:$Q$304,$E104,Register!$B$5:$B$304,"&lt;"&amp;IF($N104="",TODAY(),$N104)))</f>
        <v/>
      </c>
      <c r="T104" s="35"/>
    </row>
  </sheetData>
  <sheetProtection sheet="true" formatColumns="false" formatRows="false" insertRows="false" deleteRows="false" sort="false" autoFilter="false"/>
  <autoFilter ref="A4:T104"/>
  <mergeCells count="2">
    <mergeCell ref="A1:T1"/>
    <mergeCell ref="A2:T2"/>
  </mergeCells>
  <conditionalFormatting sqref="R5:R104">
    <cfRule type="expression" priority="2" aboveAverage="0" equalAverage="0" bottom="0" percent="0" rank="0" text="" dxfId="15">
      <formula>LEFT($R5,11)="INEFFECTIVE"</formula>
    </cfRule>
    <cfRule type="expression" priority="3" aboveAverage="0" equalAverage="0" bottom="0" percent="0" rank="0" text="" dxfId="22">
      <formula>LEFT($R5,8)="VERIFIED"</formula>
    </cfRule>
  </conditionalFormatting>
  <conditionalFormatting sqref="L5:L104">
    <cfRule type="expression" priority="4" aboveAverage="0" equalAverage="0" bottom="0" percent="0" rank="0" text="" dxfId="21">
      <formula>AND($L5&lt;&gt;"",$L5&lt;TODAY(),$N5="")</formula>
    </cfRule>
  </conditionalFormatting>
  <dataValidations count="7">
    <dataValidation allowBlank="true" errorStyle="stop" operator="between" showDropDown="false" showErrorMessage="true" showInputMessage="false" sqref="E5:E104" type="list">
      <formula1>Lists!$H$5:$H$16</formula1>
      <formula2>0</formula2>
    </dataValidation>
    <dataValidation allowBlank="true" errorStyle="stop" operator="between" showDropDown="false" showErrorMessage="true" showInputMessage="false" sqref="F5:F104" type="list">
      <formula1>Lists!$I$5:$I$11</formula1>
      <formula2>0</formula2>
    </dataValidation>
    <dataValidation allowBlank="true" errorStyle="stop" operator="between" showDropDown="false" showErrorMessage="true" showInputMessage="false" sqref="K5:K104" type="list">
      <formula1>Lists!$P$5:$P$11</formula1>
      <formula2>0</formula2>
    </dataValidation>
    <dataValidation allowBlank="true" errorStyle="stop" operator="between" showDropDown="false" showErrorMessage="true" showInputMessage="false" sqref="M5:M104" type="list">
      <formula1>Lists!$O$5:$O$10</formula1>
      <formula2>0</formula2>
    </dataValidation>
    <dataValidation allowBlank="true" error="Enter a real date." errorStyle="stop" errorTitle="Must be a date" operator="between" showDropDown="false" showErrorMessage="true" showInputMessage="false" sqref="C5:C104" type="date">
      <formula1>DATE(2020,1,1)</formula1>
      <formula2>DATE(2100,12,31)</formula2>
    </dataValidation>
    <dataValidation allowBlank="true" error="Enter a real date." errorStyle="stop" errorTitle="Must be a date" operator="between" showDropDown="false" showErrorMessage="true" showInputMessage="false" sqref="L5:L104" type="date">
      <formula1>DATE(2020,1,1)</formula1>
      <formula2>DATE(2100,12,31)</formula2>
    </dataValidation>
    <dataValidation allowBlank="true" error="Enter a real date." errorStyle="stop" errorTitle="Must be a date" operator="between" showDropDown="false" showErrorMessage="true" showInputMessage="false" sqref="N5:N104" type="date">
      <formula1>DATE(2020,1,1)</formula1>
      <formula2>DATE(2100,12,31)</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J5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4"/>
    <col collapsed="false" customWidth="true" hidden="false" outlineLevel="0" max="6" min="3" style="0" width="13"/>
    <col collapsed="false" customWidth="true" hidden="false" outlineLevel="0" max="9" min="7" style="0" width="14"/>
    <col collapsed="false" customWidth="true" hidden="false" outlineLevel="0" max="10" min="10" style="0" width="44"/>
  </cols>
  <sheetData>
    <row r="1" customFormat="false" ht="30" hidden="false" customHeight="true" outlineLevel="0" collapsed="false">
      <c r="B1" s="43" t="s">
        <v>340</v>
      </c>
      <c r="C1" s="43"/>
      <c r="D1" s="43"/>
      <c r="E1" s="43"/>
      <c r="F1" s="43"/>
      <c r="G1" s="43"/>
      <c r="H1" s="43"/>
      <c r="I1" s="43"/>
      <c r="J1" s="43"/>
    </row>
    <row r="2" customFormat="false" ht="15" hidden="false" customHeight="false" outlineLevel="0" collapsed="false">
      <c r="B2" s="44" t="s">
        <v>341</v>
      </c>
      <c r="C2" s="44"/>
      <c r="D2" s="44"/>
      <c r="E2" s="44"/>
      <c r="F2" s="44"/>
      <c r="G2" s="44"/>
      <c r="H2" s="44"/>
      <c r="I2" s="44"/>
      <c r="J2" s="44"/>
    </row>
    <row r="4" customFormat="false" ht="15" hidden="false" customHeight="false" outlineLevel="0" collapsed="false">
      <c r="B4" s="45" t="s">
        <v>342</v>
      </c>
      <c r="C4" s="45"/>
      <c r="D4" s="45"/>
      <c r="E4" s="45"/>
      <c r="F4" s="45"/>
      <c r="G4" s="45"/>
      <c r="H4" s="45"/>
      <c r="I4" s="45"/>
      <c r="J4" s="45"/>
    </row>
    <row r="5" customFormat="false" ht="15" hidden="false" customHeight="false" outlineLevel="0" collapsed="false">
      <c r="B5" s="19" t="s">
        <v>343</v>
      </c>
      <c r="C5" s="46"/>
      <c r="D5" s="47" t="s">
        <v>344</v>
      </c>
      <c r="E5" s="47"/>
      <c r="F5" s="47"/>
    </row>
    <row r="6" customFormat="false" ht="15" hidden="false" customHeight="false" outlineLevel="0" collapsed="false">
      <c r="B6" s="19" t="s">
        <v>345</v>
      </c>
      <c r="C6" s="46"/>
      <c r="D6" s="47" t="s">
        <v>344</v>
      </c>
      <c r="E6" s="47"/>
      <c r="F6" s="47"/>
    </row>
    <row r="8" customFormat="false" ht="19.5" hidden="false" customHeight="true" outlineLevel="0" collapsed="false">
      <c r="B8" s="48" t="s">
        <v>346</v>
      </c>
      <c r="C8" s="48"/>
      <c r="D8" s="48"/>
      <c r="E8" s="48"/>
      <c r="F8" s="48"/>
      <c r="G8" s="48"/>
      <c r="H8" s="48"/>
      <c r="I8" s="48"/>
      <c r="J8" s="48"/>
    </row>
    <row r="9" customFormat="false" ht="30" hidden="false" customHeight="true" outlineLevel="0" collapsed="false">
      <c r="B9" s="49" t="s">
        <v>347</v>
      </c>
      <c r="C9" s="49" t="s">
        <v>348</v>
      </c>
      <c r="D9" s="49" t="s">
        <v>349</v>
      </c>
      <c r="E9" s="49" t="s">
        <v>350</v>
      </c>
      <c r="F9" s="49" t="s">
        <v>93</v>
      </c>
      <c r="G9" s="49" t="s">
        <v>351</v>
      </c>
      <c r="H9" s="49" t="s">
        <v>352</v>
      </c>
      <c r="I9" s="49" t="s">
        <v>353</v>
      </c>
      <c r="J9" s="49" t="s">
        <v>354</v>
      </c>
    </row>
    <row r="10" customFormat="false" ht="31.5" hidden="false" customHeight="true" outlineLevel="0" collapsed="false">
      <c r="B10" s="50" t="s">
        <v>355</v>
      </c>
      <c r="C10" s="51" t="n">
        <f aca="false">COUNTIFS(Register!$B$5:$B$304,"&gt;="&amp;IF($C$5="",DATE(1900,1,1),$C$5),Register!$B$5:$B$304,"&lt;="&amp;IF($C$6="",DATE(9999,1,1),$C$6))</f>
        <v>12</v>
      </c>
      <c r="D10" s="51" t="n">
        <f aca="false">COUNTIFS(Register!$H$5:$H$304,"Complaint",Register!$P$5:$P$304,"Upheld",Register!$B$5:$B$304,"&gt;="&amp;IF($C$5="",DATE(1900,1,1),$C$5),Register!$B$5:$B$304,"&lt;="&amp;IF($C$6="",DATE(9999,1,1),$C$6))</f>
        <v>5</v>
      </c>
      <c r="E10" s="51" t="n">
        <f aca="false">COUNTIFS(Register!$H$5:$H$304,"Nonconformity (process)",Register!$B$5:$B$304,"&gt;="&amp;IF($C$5="",DATE(1900,1,1),$C$5),Register!$B$5:$B$304,"&lt;="&amp;IF($C$6="",DATE(9999,1,1),$C$6))</f>
        <v>3</v>
      </c>
      <c r="F10" s="51" t="n">
        <f aca="false">COUNTIFS(Register!$B$5:$B$304,"&gt;="&amp;IF($C$5="",DATE(1900,1,1),$C$5),Register!$B$5:$B$304,"&lt;="&amp;IF($C$6="",DATE(9999,1,1),$C$6))-COUNTIFS(Register!$AI$5:$AI$304,"Closed",Register!$B$5:$B$304,"&gt;="&amp;IF($C$5="",DATE(1900,1,1),$C$5),Register!$B$5:$B$304,"&lt;="&amp;IF($C$6="",DATE(9999,1,1),$C$6))-COUNTIFS(Register!$AI$5:$AI$304,"Rejected",Register!$B$5:$B$304,"&gt;="&amp;IF($C$5="",DATE(1900,1,1),$C$5),Register!$B$5:$B$304,"&lt;="&amp;IF($C$6="",DATE(9999,1,1),$C$6))</f>
        <v>5</v>
      </c>
      <c r="G10" s="51" t="n">
        <f aca="false">COUNTIFS(Register!$AM$5:$AM$304,"OVERDUE",Register!$B$5:$B$304,"&gt;="&amp;IF($C$5="",DATE(1900,1,1),$C$5),Register!$B$5:$B$304,"&lt;="&amp;IF($C$6="",DATE(9999,1,1),$C$6))</f>
        <v>4</v>
      </c>
      <c r="H10" s="52" t="n">
        <f aca="false">IFERROR(COUNTIFS(Register!$N$5:$N$304,"Yes",Register!$B$5:$B$304,"&gt;="&amp;IF($C$5="",DATE(1900,1,1),$C$5),Register!$B$5:$B$304,"&lt;="&amp;IF($C$6="",DATE(9999,1,1),$C$6))/COUNTIFS(Register!$B$5:$B$304,"&gt;="&amp;IF($C$5="",DATE(1900,1,1),$C$5),Register!$B$5:$B$304,"&lt;="&amp;IF($C$6="",DATE(9999,1,1),$C$6)),0)</f>
        <v>0.333333333333333</v>
      </c>
      <c r="I10" s="52" t="n">
        <f aca="false">IFERROR(COUNTIFS(Register!$AM$5:$AM$304,"On time",Register!$B$5:$B$304,"&gt;="&amp;IF($C$5="",DATE(1900,1,1),$C$5),Register!$B$5:$B$304,"&lt;="&amp;IF($C$6="",DATE(9999,1,1),$C$6))/(COUNTIFS(Register!$AM$5:$AM$304,"On time",Register!$B$5:$B$304,"&gt;="&amp;IF($C$5="",DATE(1900,1,1),$C$5),Register!$B$5:$B$304,"&lt;="&amp;IF($C$6="",DATE(9999,1,1),$C$6))+COUNTIFS(Register!$AM$5:$AM$304,"Late",Register!$B$5:$B$304,"&gt;="&amp;IF($C$5="",DATE(1900,1,1),$C$5),Register!$B$5:$B$304,"&lt;="&amp;IF($C$6="",DATE(9999,1,1),$C$6))),0)</f>
        <v>0.285714285714286</v>
      </c>
      <c r="J10" s="53" t="str">
        <f aca="false">IF(H10&gt;=Settings!$C$24,"FCR target met.","FCR "&amp;TEXT(Settings!$C$24-H10,"0.0%")&amp;" below target — check the authority map before the training budget.")</f>
        <v>FCR 46.7% below target — check the authority map before the training budget.</v>
      </c>
    </row>
    <row r="11" customFormat="false" ht="30" hidden="false" customHeight="true" outlineLevel="0" collapsed="false">
      <c r="B11" s="49" t="s">
        <v>347</v>
      </c>
      <c r="C11" s="49" t="s">
        <v>356</v>
      </c>
      <c r="D11" s="49" t="s">
        <v>357</v>
      </c>
      <c r="E11" s="49" t="s">
        <v>241</v>
      </c>
      <c r="F11" s="49" t="s">
        <v>358</v>
      </c>
      <c r="G11" s="49" t="s">
        <v>240</v>
      </c>
      <c r="H11" s="49" t="s">
        <v>359</v>
      </c>
      <c r="I11" s="49" t="s">
        <v>360</v>
      </c>
      <c r="J11" s="49" t="s">
        <v>354</v>
      </c>
    </row>
    <row r="12" customFormat="false" ht="31.5" hidden="false" customHeight="true" outlineLevel="0" collapsed="false">
      <c r="B12" s="50" t="s">
        <v>355</v>
      </c>
      <c r="C12" s="51" t="n">
        <f aca="false">COUNTIFS(Register!$S$5:$S$304,"Yes",Register!$B$5:$B$304,"&gt;="&amp;IF($C$5="",DATE(1900,1,1),$C$5),Register!$B$5:$B$304,"&lt;="&amp;IF($C$6="",DATE(9999,1,1),$C$6))</f>
        <v>6</v>
      </c>
      <c r="D12" s="52" t="n">
        <f aca="false">IFERROR(C12/C10,0)</f>
        <v>0.5</v>
      </c>
      <c r="E12" s="54" t="n">
        <f aca="false">SUMIFS(Register!$AB$5:$AB$304,Register!$B$5:$B$304,"&gt;="&amp;IF($C$5="",DATE(1900,1,1),$C$5),Register!$B$5:$B$304,"&lt;="&amp;IF($C$6="",DATE(9999,1,1),$C$6))</f>
        <v>55594</v>
      </c>
      <c r="F12" s="54" t="n">
        <f aca="false">IFERROR(E12/C10,0)</f>
        <v>4632.83333333333</v>
      </c>
      <c r="G12" s="54" t="n">
        <f aca="false">SUMIFS(Register!$AA$5:$AA$304,Register!$B$5:$B$304,"&gt;="&amp;IF($C$5="",DATE(1900,1,1),$C$5),Register!$B$5:$B$304,"&lt;="&amp;IF($C$6="",DATE(9999,1,1),$C$6))</f>
        <v>53400</v>
      </c>
      <c r="H12" s="55" t="n">
        <f aca="false">IFERROR(AVERAGEIFS(Register!$AK$5:$AK$304,Register!$B$5:$B$304,"&gt;="&amp;IF($C$5="",DATE(1900,1,1),$C$5),Register!$B$5:$B$304,"&lt;="&amp;IF($C$6="",DATE(9999,1,1),$C$6),Register!$AK$5:$AK$304,"&gt;=0"),0)</f>
        <v>5.57142857142857</v>
      </c>
      <c r="I12" s="52" t="n">
        <f aca="false">IFERROR(COUNTIFS(Register!$H$5:$H$304,"Complaint",Register!$P$5:$P$304,"Upheld",Register!$B$5:$B$304,"&gt;="&amp;IF($C$5="",DATE(1900,1,1),$C$5),Register!$B$5:$B$304,"&lt;="&amp;IF($C$6="",DATE(9999,1,1),$C$6))/(COUNTIFS(Register!$H$5:$H$304,"Complaint",Register!$P$5:$P$304,"Upheld",Register!$B$5:$B$304,"&gt;="&amp;IF($C$5="",DATE(1900,1,1),$C$5),Register!$B$5:$B$304,"&lt;="&amp;IF($C$6="",DATE(9999,1,1),$C$6))+COUNTIFS(Register!$H$5:$H$304,"Complaint",Register!$P$5:$P$304,"Not upheld",Register!$B$5:$B$304,"&gt;="&amp;IF($C$5="",DATE(1900,1,1),$C$5),Register!$B$5:$B$304,"&lt;="&amp;IF($C$6="",DATE(9999,1,1),$C$6))),0)</f>
        <v>0.833333333333333</v>
      </c>
      <c r="J12" s="53" t="str">
        <f aca="false">IF(D12&gt;Settings!$C$25,"Repeat share is above the limit — this is a CAPA problem, not a service problem. See the Pareto sheet.","Repeat share within limits.")&amp;" | Uphold rate "&amp;TEXT(I12,"0%")&amp;IF(I12&gt;0.9," — almost everything is upheld: the classification may be a rubber stamp and revenue at risk overstated.",IF(I12&lt;0.3," — most complaints are rejected: either an expectation-management problem, or the uphold bar is set too high.",""))</f>
        <v>Repeat share is above the limit — this is a CAPA problem, not a service problem. See the Pareto sheet. | Uphold rate 83%</v>
      </c>
    </row>
    <row r="14" customFormat="false" ht="19.5" hidden="false" customHeight="true" outlineLevel="0" collapsed="false">
      <c r="B14" s="48" t="s">
        <v>361</v>
      </c>
      <c r="C14" s="48"/>
      <c r="D14" s="48"/>
      <c r="E14" s="48"/>
      <c r="F14" s="48"/>
      <c r="G14" s="48"/>
      <c r="H14" s="48"/>
      <c r="I14" s="48"/>
      <c r="J14" s="48"/>
    </row>
    <row r="15" customFormat="false" ht="30" hidden="false" customHeight="true" outlineLevel="0" collapsed="false">
      <c r="B15" s="49" t="s">
        <v>355</v>
      </c>
      <c r="C15" s="49" t="s">
        <v>362</v>
      </c>
      <c r="D15" s="49" t="s">
        <v>349</v>
      </c>
      <c r="E15" s="49" t="s">
        <v>363</v>
      </c>
      <c r="F15" s="49" t="s">
        <v>356</v>
      </c>
      <c r="G15" s="49" t="s">
        <v>364</v>
      </c>
      <c r="H15" s="49" t="s">
        <v>365</v>
      </c>
      <c r="I15" s="49" t="s">
        <v>366</v>
      </c>
    </row>
    <row r="16" customFormat="false" ht="15" hidden="false" customHeight="false" outlineLevel="0" collapsed="false">
      <c r="B16" s="56" t="str">
        <f aca="false">Lists!$D$5</f>
        <v>Sales</v>
      </c>
      <c r="C16" s="57" t="n">
        <f aca="false">COUNTIFS(Register!$I$5:$I$304,$B16,Register!$B$5:$B$304,"&gt;="&amp;IF($C$5="",DATE(1900,1,1),$C$5),Register!$B$5:$B$304,"&lt;="&amp;IF($C$6="",DATE(9999,1,1),$C$6))</f>
        <v>1</v>
      </c>
      <c r="D16" s="57" t="n">
        <f aca="false">COUNTIFS(Register!$I$5:$I$304,$B16,Register!$H$5:$H$304,"Complaint",Register!$P$5:$P$304,"Upheld",Register!$B$5:$B$304,"&gt;="&amp;IF($C$5="",DATE(1900,1,1),$C$5),Register!$B$5:$B$304,"&lt;="&amp;IF($C$6="",DATE(9999,1,1),$C$6))</f>
        <v>0</v>
      </c>
      <c r="E16" s="57" t="n">
        <f aca="false">COUNTIFS(Register!$I$5:$I$304,$B16,Register!$H$5:$H$304,"Nonconformity (process)",Register!$B$5:$B$304,"&gt;="&amp;IF($C$5="",DATE(1900,1,1),$C$5),Register!$B$5:$B$304,"&lt;="&amp;IF($C$6="",DATE(9999,1,1),$C$6))</f>
        <v>0</v>
      </c>
      <c r="F16" s="57" t="n">
        <f aca="false">COUNTIFS(Register!$I$5:$I$304,$B16,Register!$S$5:$S$304,"Yes",Register!$B$5:$B$304,"&gt;="&amp;IF($C$5="",DATE(1900,1,1),$C$5),Register!$B$5:$B$304,"&lt;="&amp;IF($C$6="",DATE(9999,1,1),$C$6))</f>
        <v>0</v>
      </c>
      <c r="G16" s="58" t="n">
        <f aca="false">IFERROR(AVERAGEIFS(Register!$W$5:$W$304,Register!$I$5:$I$304,$B16,Register!$B$5:$B$304,"&gt;="&amp;IF($C$5="",DATE(1900,1,1),$C$5),Register!$B$5:$B$304,"&lt;="&amp;IF($C$6="",DATE(9999,1,1),$C$6)),0)</f>
        <v>18</v>
      </c>
      <c r="H16" s="59" t="n">
        <f aca="false">SUMIFS(Register!$AB$5:$AB$304,Register!$I$5:$I$304,$B16,Register!$B$5:$B$304,"&gt;="&amp;IF($C$5="",DATE(1900,1,1),$C$5),Register!$B$5:$B$304,"&lt;="&amp;IF($C$6="",DATE(9999,1,1),$C$6))</f>
        <v>24</v>
      </c>
      <c r="I16" s="60" t="n">
        <f aca="false">IFERROR(SUMIFS(Register!$AB$5:$AB$304,Register!$I$5:$I$304,$B16,Register!$B$5:$B$304,"&gt;="&amp;IF($C$5="",DATE(1900,1,1),$C$5),Register!$B$5:$B$304,"&lt;="&amp;IF($C$6="",DATE(9999,1,1),$C$6))/$E$12,0)</f>
        <v>0.000431701262726194</v>
      </c>
      <c r="J16" s="61" t="s">
        <v>367</v>
      </c>
    </row>
    <row r="17" customFormat="false" ht="15" hidden="false" customHeight="false" outlineLevel="0" collapsed="false">
      <c r="B17" s="56" t="str">
        <f aca="false">Lists!$D$6</f>
        <v>Customer service</v>
      </c>
      <c r="C17" s="57" t="n">
        <f aca="false">COUNTIFS(Register!$I$5:$I$304,$B17,Register!$B$5:$B$304,"&gt;="&amp;IF($C$5="",DATE(1900,1,1),$C$5),Register!$B$5:$B$304,"&lt;="&amp;IF($C$6="",DATE(9999,1,1),$C$6))</f>
        <v>2</v>
      </c>
      <c r="D17" s="57" t="n">
        <f aca="false">COUNTIFS(Register!$I$5:$I$304,$B17,Register!$H$5:$H$304,"Complaint",Register!$P$5:$P$304,"Upheld",Register!$B$5:$B$304,"&gt;="&amp;IF($C$5="",DATE(1900,1,1),$C$5),Register!$B$5:$B$304,"&lt;="&amp;IF($C$6="",DATE(9999,1,1),$C$6))</f>
        <v>1</v>
      </c>
      <c r="E17" s="57" t="n">
        <f aca="false">COUNTIFS(Register!$I$5:$I$304,$B17,Register!$H$5:$H$304,"Nonconformity (process)",Register!$B$5:$B$304,"&gt;="&amp;IF($C$5="",DATE(1900,1,1),$C$5),Register!$B$5:$B$304,"&lt;="&amp;IF($C$6="",DATE(9999,1,1),$C$6))</f>
        <v>0</v>
      </c>
      <c r="F17" s="57" t="n">
        <f aca="false">COUNTIFS(Register!$I$5:$I$304,$B17,Register!$S$5:$S$304,"Yes",Register!$B$5:$B$304,"&gt;="&amp;IF($C$5="",DATE(1900,1,1),$C$5),Register!$B$5:$B$304,"&lt;="&amp;IF($C$6="",DATE(9999,1,1),$C$6))</f>
        <v>0</v>
      </c>
      <c r="G17" s="58" t="n">
        <f aca="false">IFERROR(AVERAGEIFS(Register!$W$5:$W$304,Register!$I$5:$I$304,$B17,Register!$B$5:$B$304,"&gt;="&amp;IF($C$5="",DATE(1900,1,1),$C$5),Register!$B$5:$B$304,"&lt;="&amp;IF($C$6="",DATE(9999,1,1),$C$6)),0)</f>
        <v>14</v>
      </c>
      <c r="H17" s="59" t="n">
        <f aca="false">SUMIFS(Register!$AB$5:$AB$304,Register!$I$5:$I$304,$B17,Register!$B$5:$B$304,"&gt;="&amp;IF($C$5="",DATE(1900,1,1),$C$5),Register!$B$5:$B$304,"&lt;="&amp;IF($C$6="",DATE(9999,1,1),$C$6))</f>
        <v>2272</v>
      </c>
      <c r="I17" s="60" t="n">
        <f aca="false">IFERROR(SUMIFS(Register!$AB$5:$AB$304,Register!$I$5:$I$304,$B17,Register!$B$5:$B$304,"&gt;="&amp;IF($C$5="",DATE(1900,1,1),$C$5),Register!$B$5:$B$304,"&lt;="&amp;IF($C$6="",DATE(9999,1,1),$C$6))/$E$12,0)</f>
        <v>0.0408677195380797</v>
      </c>
      <c r="J17" s="61"/>
    </row>
    <row r="18" customFormat="false" ht="15" hidden="false" customHeight="false" outlineLevel="0" collapsed="false">
      <c r="B18" s="56" t="str">
        <f aca="false">Lists!$D$7</f>
        <v>Logistics</v>
      </c>
      <c r="C18" s="57" t="n">
        <f aca="false">COUNTIFS(Register!$I$5:$I$304,$B18,Register!$B$5:$B$304,"&gt;="&amp;IF($C$5="",DATE(1900,1,1),$C$5),Register!$B$5:$B$304,"&lt;="&amp;IF($C$6="",DATE(9999,1,1),$C$6))</f>
        <v>3</v>
      </c>
      <c r="D18" s="57" t="n">
        <f aca="false">COUNTIFS(Register!$I$5:$I$304,$B18,Register!$H$5:$H$304,"Complaint",Register!$P$5:$P$304,"Upheld",Register!$B$5:$B$304,"&gt;="&amp;IF($C$5="",DATE(1900,1,1),$C$5),Register!$B$5:$B$304,"&lt;="&amp;IF($C$6="",DATE(9999,1,1),$C$6))</f>
        <v>3</v>
      </c>
      <c r="E18" s="57" t="n">
        <f aca="false">COUNTIFS(Register!$I$5:$I$304,$B18,Register!$H$5:$H$304,"Nonconformity (process)",Register!$B$5:$B$304,"&gt;="&amp;IF($C$5="",DATE(1900,1,1),$C$5),Register!$B$5:$B$304,"&lt;="&amp;IF($C$6="",DATE(9999,1,1),$C$6))</f>
        <v>0</v>
      </c>
      <c r="F18" s="57" t="n">
        <f aca="false">COUNTIFS(Register!$I$5:$I$304,$B18,Register!$S$5:$S$304,"Yes",Register!$B$5:$B$304,"&gt;="&amp;IF($C$5="",DATE(1900,1,1),$C$5),Register!$B$5:$B$304,"&lt;="&amp;IF($C$6="",DATE(9999,1,1),$C$6))</f>
        <v>3</v>
      </c>
      <c r="G18" s="58" t="n">
        <f aca="false">IFERROR(AVERAGEIFS(Register!$W$5:$W$304,Register!$I$5:$I$304,$B18,Register!$B$5:$B$304,"&gt;="&amp;IF($C$5="",DATE(1900,1,1),$C$5),Register!$B$5:$B$304,"&lt;="&amp;IF($C$6="",DATE(9999,1,1),$C$6)),0)</f>
        <v>65</v>
      </c>
      <c r="H18" s="59" t="n">
        <f aca="false">SUMIFS(Register!$AB$5:$AB$304,Register!$I$5:$I$304,$B18,Register!$B$5:$B$304,"&gt;="&amp;IF($C$5="",DATE(1900,1,1),$C$5),Register!$B$5:$B$304,"&lt;="&amp;IF($C$6="",DATE(9999,1,1),$C$6))</f>
        <v>50236</v>
      </c>
      <c r="I18" s="60" t="n">
        <f aca="false">IFERROR(SUMIFS(Register!$AB$5:$AB$304,Register!$I$5:$I$304,$B18,Register!$B$5:$B$304,"&gt;="&amp;IF($C$5="",DATE(1900,1,1),$C$5),Register!$B$5:$B$304,"&lt;="&amp;IF($C$6="",DATE(9999,1,1),$C$6))/$E$12,0)</f>
        <v>0.903622693096377</v>
      </c>
      <c r="J18" s="61"/>
    </row>
    <row r="19" customFormat="false" ht="15" hidden="false" customHeight="false" outlineLevel="0" collapsed="false">
      <c r="B19" s="56" t="str">
        <f aca="false">Lists!$D$8</f>
        <v>IT</v>
      </c>
      <c r="C19" s="57" t="n">
        <f aca="false">COUNTIFS(Register!$I$5:$I$304,$B19,Register!$B$5:$B$304,"&gt;="&amp;IF($C$5="",DATE(1900,1,1),$C$5),Register!$B$5:$B$304,"&lt;="&amp;IF($C$6="",DATE(9999,1,1),$C$6))</f>
        <v>2</v>
      </c>
      <c r="D19" s="57" t="n">
        <f aca="false">COUNTIFS(Register!$I$5:$I$304,$B19,Register!$H$5:$H$304,"Complaint",Register!$P$5:$P$304,"Upheld",Register!$B$5:$B$304,"&gt;="&amp;IF($C$5="",DATE(1900,1,1),$C$5),Register!$B$5:$B$304,"&lt;="&amp;IF($C$6="",DATE(9999,1,1),$C$6))</f>
        <v>0</v>
      </c>
      <c r="E19" s="57" t="n">
        <f aca="false">COUNTIFS(Register!$I$5:$I$304,$B19,Register!$H$5:$H$304,"Nonconformity (process)",Register!$B$5:$B$304,"&gt;="&amp;IF($C$5="",DATE(1900,1,1),$C$5),Register!$B$5:$B$304,"&lt;="&amp;IF($C$6="",DATE(9999,1,1),$C$6))</f>
        <v>2</v>
      </c>
      <c r="F19" s="57" t="n">
        <f aca="false">COUNTIFS(Register!$I$5:$I$304,$B19,Register!$S$5:$S$304,"Yes",Register!$B$5:$B$304,"&gt;="&amp;IF($C$5="",DATE(1900,1,1),$C$5),Register!$B$5:$B$304,"&lt;="&amp;IF($C$6="",DATE(9999,1,1),$C$6))</f>
        <v>1</v>
      </c>
      <c r="G19" s="58" t="n">
        <f aca="false">IFERROR(AVERAGEIFS(Register!$W$5:$W$304,Register!$I$5:$I$304,$B19,Register!$B$5:$B$304,"&gt;="&amp;IF($C$5="",DATE(1900,1,1),$C$5),Register!$B$5:$B$304,"&lt;="&amp;IF($C$6="",DATE(9999,1,1),$C$6)),0)</f>
        <v>22</v>
      </c>
      <c r="H19" s="59" t="n">
        <f aca="false">SUMIFS(Register!$AB$5:$AB$304,Register!$I$5:$I$304,$B19,Register!$B$5:$B$304,"&gt;="&amp;IF($C$5="",DATE(1900,1,1),$C$5),Register!$B$5:$B$304,"&lt;="&amp;IF($C$6="",DATE(9999,1,1),$C$6))</f>
        <v>60</v>
      </c>
      <c r="I19" s="60" t="n">
        <f aca="false">IFERROR(SUMIFS(Register!$AB$5:$AB$304,Register!$I$5:$I$304,$B19,Register!$B$5:$B$304,"&gt;="&amp;IF($C$5="",DATE(1900,1,1),$C$5),Register!$B$5:$B$304,"&lt;="&amp;IF($C$6="",DATE(9999,1,1),$C$6))/$E$12,0)</f>
        <v>0.00107925315681548</v>
      </c>
    </row>
    <row r="20" customFormat="false" ht="15" hidden="false" customHeight="false" outlineLevel="0" collapsed="false">
      <c r="B20" s="56" t="str">
        <f aca="false">Lists!$D$9</f>
        <v>Finance</v>
      </c>
      <c r="C20" s="57" t="n">
        <f aca="false">COUNTIFS(Register!$I$5:$I$304,$B20,Register!$B$5:$B$304,"&gt;="&amp;IF($C$5="",DATE(1900,1,1),$C$5),Register!$B$5:$B$304,"&lt;="&amp;IF($C$6="",DATE(9999,1,1),$C$6))</f>
        <v>2</v>
      </c>
      <c r="D20" s="57" t="n">
        <f aca="false">COUNTIFS(Register!$I$5:$I$304,$B20,Register!$H$5:$H$304,"Complaint",Register!$P$5:$P$304,"Upheld",Register!$B$5:$B$304,"&gt;="&amp;IF($C$5="",DATE(1900,1,1),$C$5),Register!$B$5:$B$304,"&lt;="&amp;IF($C$6="",DATE(9999,1,1),$C$6))</f>
        <v>1</v>
      </c>
      <c r="E20" s="57" t="n">
        <f aca="false">COUNTIFS(Register!$I$5:$I$304,$B20,Register!$H$5:$H$304,"Nonconformity (process)",Register!$B$5:$B$304,"&gt;="&amp;IF($C$5="",DATE(1900,1,1),$C$5),Register!$B$5:$B$304,"&lt;="&amp;IF($C$6="",DATE(9999,1,1),$C$6))</f>
        <v>1</v>
      </c>
      <c r="F20" s="57" t="n">
        <f aca="false">COUNTIFS(Register!$I$5:$I$304,$B20,Register!$S$5:$S$304,"Yes",Register!$B$5:$B$304,"&gt;="&amp;IF($C$5="",DATE(1900,1,1),$C$5),Register!$B$5:$B$304,"&lt;="&amp;IF($C$6="",DATE(9999,1,1),$C$6))</f>
        <v>2</v>
      </c>
      <c r="G20" s="58" t="n">
        <f aca="false">IFERROR(AVERAGEIFS(Register!$W$5:$W$304,Register!$I$5:$I$304,$B20,Register!$B$5:$B$304,"&gt;="&amp;IF($C$5="",DATE(1900,1,1),$C$5),Register!$B$5:$B$304,"&lt;="&amp;IF($C$6="",DATE(9999,1,1),$C$6)),0)</f>
        <v>48</v>
      </c>
      <c r="H20" s="59" t="n">
        <f aca="false">SUMIFS(Register!$AB$5:$AB$304,Register!$I$5:$I$304,$B20,Register!$B$5:$B$304,"&gt;="&amp;IF($C$5="",DATE(1900,1,1),$C$5),Register!$B$5:$B$304,"&lt;="&amp;IF($C$6="",DATE(9999,1,1),$C$6))</f>
        <v>2966</v>
      </c>
      <c r="I20" s="60" t="n">
        <f aca="false">IFERROR(SUMIFS(Register!$AB$5:$AB$304,Register!$I$5:$I$304,$B20,Register!$B$5:$B$304,"&gt;="&amp;IF($C$5="",DATE(1900,1,1),$C$5),Register!$B$5:$B$304,"&lt;="&amp;IF($C$6="",DATE(9999,1,1),$C$6))/$E$12,0)</f>
        <v>0.0533510810519121</v>
      </c>
    </row>
    <row r="21" customFormat="false" ht="15" hidden="false" customHeight="false" outlineLevel="0" collapsed="false">
      <c r="B21" s="56" t="str">
        <f aca="false">Lists!$D$10</f>
        <v>Product</v>
      </c>
      <c r="C21" s="57" t="n">
        <f aca="false">COUNTIFS(Register!$I$5:$I$304,$B21,Register!$B$5:$B$304,"&gt;="&amp;IF($C$5="",DATE(1900,1,1),$C$5),Register!$B$5:$B$304,"&lt;="&amp;IF($C$6="",DATE(9999,1,1),$C$6))</f>
        <v>1</v>
      </c>
      <c r="D21" s="57" t="n">
        <f aca="false">COUNTIFS(Register!$I$5:$I$304,$B21,Register!$H$5:$H$304,"Complaint",Register!$P$5:$P$304,"Upheld",Register!$B$5:$B$304,"&gt;="&amp;IF($C$5="",DATE(1900,1,1),$C$5),Register!$B$5:$B$304,"&lt;="&amp;IF($C$6="",DATE(9999,1,1),$C$6))</f>
        <v>0</v>
      </c>
      <c r="E21" s="57" t="n">
        <f aca="false">COUNTIFS(Register!$I$5:$I$304,$B21,Register!$H$5:$H$304,"Nonconformity (process)",Register!$B$5:$B$304,"&gt;="&amp;IF($C$5="",DATE(1900,1,1),$C$5),Register!$B$5:$B$304,"&lt;="&amp;IF($C$6="",DATE(9999,1,1),$C$6))</f>
        <v>0</v>
      </c>
      <c r="F21" s="57" t="n">
        <f aca="false">COUNTIFS(Register!$I$5:$I$304,$B21,Register!$S$5:$S$304,"Yes",Register!$B$5:$B$304,"&gt;="&amp;IF($C$5="",DATE(1900,1,1),$C$5),Register!$B$5:$B$304,"&lt;="&amp;IF($C$6="",DATE(9999,1,1),$C$6))</f>
        <v>0</v>
      </c>
      <c r="G21" s="58" t="n">
        <f aca="false">IFERROR(AVERAGEIFS(Register!$W$5:$W$304,Register!$I$5:$I$304,$B21,Register!$B$5:$B$304,"&gt;="&amp;IF($C$5="",DATE(1900,1,1),$C$5),Register!$B$5:$B$304,"&lt;="&amp;IF($C$6="",DATE(9999,1,1),$C$6)),0)</f>
        <v>4</v>
      </c>
      <c r="H21" s="59" t="n">
        <f aca="false">SUMIFS(Register!$AB$5:$AB$304,Register!$I$5:$I$304,$B21,Register!$B$5:$B$304,"&gt;="&amp;IF($C$5="",DATE(1900,1,1),$C$5),Register!$B$5:$B$304,"&lt;="&amp;IF($C$6="",DATE(9999,1,1),$C$6))</f>
        <v>12</v>
      </c>
      <c r="I21" s="60" t="n">
        <f aca="false">IFERROR(SUMIFS(Register!$AB$5:$AB$304,Register!$I$5:$I$304,$B21,Register!$B$5:$B$304,"&gt;="&amp;IF($C$5="",DATE(1900,1,1),$C$5),Register!$B$5:$B$304,"&lt;="&amp;IF($C$6="",DATE(9999,1,1),$C$6))/$E$12,0)</f>
        <v>0.000215850631363097</v>
      </c>
    </row>
    <row r="22" customFormat="false" ht="15" hidden="false" customHeight="false" outlineLevel="0" collapsed="false">
      <c r="B22" s="56" t="str">
        <f aca="false">Lists!$D$11</f>
        <v>Legal</v>
      </c>
      <c r="C22" s="57" t="n">
        <f aca="false">COUNTIFS(Register!$I$5:$I$304,$B22,Register!$B$5:$B$304,"&gt;="&amp;IF($C$5="",DATE(1900,1,1),$C$5),Register!$B$5:$B$304,"&lt;="&amp;IF($C$6="",DATE(9999,1,1),$C$6))</f>
        <v>1</v>
      </c>
      <c r="D22" s="57" t="n">
        <f aca="false">COUNTIFS(Register!$I$5:$I$304,$B22,Register!$H$5:$H$304,"Complaint",Register!$P$5:$P$304,"Upheld",Register!$B$5:$B$304,"&gt;="&amp;IF($C$5="",DATE(1900,1,1),$C$5),Register!$B$5:$B$304,"&lt;="&amp;IF($C$6="",DATE(9999,1,1),$C$6))</f>
        <v>0</v>
      </c>
      <c r="E22" s="57" t="n">
        <f aca="false">COUNTIFS(Register!$I$5:$I$304,$B22,Register!$H$5:$H$304,"Nonconformity (process)",Register!$B$5:$B$304,"&gt;="&amp;IF($C$5="",DATE(1900,1,1),$C$5),Register!$B$5:$B$304,"&lt;="&amp;IF($C$6="",DATE(9999,1,1),$C$6))</f>
        <v>0</v>
      </c>
      <c r="F22" s="57" t="n">
        <f aca="false">COUNTIFS(Register!$I$5:$I$304,$B22,Register!$S$5:$S$304,"Yes",Register!$B$5:$B$304,"&gt;="&amp;IF($C$5="",DATE(1900,1,1),$C$5),Register!$B$5:$B$304,"&lt;="&amp;IF($C$6="",DATE(9999,1,1),$C$6))</f>
        <v>0</v>
      </c>
      <c r="G22" s="58" t="n">
        <f aca="false">IFERROR(AVERAGEIFS(Register!$W$5:$W$304,Register!$I$5:$I$304,$B22,Register!$B$5:$B$304,"&gt;="&amp;IF($C$5="",DATE(1900,1,1),$C$5),Register!$B$5:$B$304,"&lt;="&amp;IF($C$6="",DATE(9999,1,1),$C$6)),0)</f>
        <v>18</v>
      </c>
      <c r="H22" s="59" t="n">
        <f aca="false">SUMIFS(Register!$AB$5:$AB$304,Register!$I$5:$I$304,$B22,Register!$B$5:$B$304,"&gt;="&amp;IF($C$5="",DATE(1900,1,1),$C$5),Register!$B$5:$B$304,"&lt;="&amp;IF($C$6="",DATE(9999,1,1),$C$6))</f>
        <v>24</v>
      </c>
      <c r="I22" s="60" t="n">
        <f aca="false">IFERROR(SUMIFS(Register!$AB$5:$AB$304,Register!$I$5:$I$304,$B22,Register!$B$5:$B$304,"&gt;="&amp;IF($C$5="",DATE(1900,1,1),$C$5),Register!$B$5:$B$304,"&lt;="&amp;IF($C$6="",DATE(9999,1,1),$C$6))/$E$12,0)</f>
        <v>0.000431701262726194</v>
      </c>
    </row>
    <row r="23" customFormat="false" ht="15" hidden="false" customHeight="false" outlineLevel="0" collapsed="false">
      <c r="B23" s="56" t="str">
        <f aca="false">Lists!$D$12</f>
        <v>Marketing</v>
      </c>
      <c r="C23" s="57" t="n">
        <f aca="false">COUNTIFS(Register!$I$5:$I$304,$B23,Register!$B$5:$B$304,"&gt;="&amp;IF($C$5="",DATE(1900,1,1),$C$5),Register!$B$5:$B$304,"&lt;="&amp;IF($C$6="",DATE(9999,1,1),$C$6))</f>
        <v>0</v>
      </c>
      <c r="D23" s="57" t="n">
        <f aca="false">COUNTIFS(Register!$I$5:$I$304,$B23,Register!$H$5:$H$304,"Complaint",Register!$P$5:$P$304,"Upheld",Register!$B$5:$B$304,"&gt;="&amp;IF($C$5="",DATE(1900,1,1),$C$5),Register!$B$5:$B$304,"&lt;="&amp;IF($C$6="",DATE(9999,1,1),$C$6))</f>
        <v>0</v>
      </c>
      <c r="E23" s="57" t="n">
        <f aca="false">COUNTIFS(Register!$I$5:$I$304,$B23,Register!$H$5:$H$304,"Nonconformity (process)",Register!$B$5:$B$304,"&gt;="&amp;IF($C$5="",DATE(1900,1,1),$C$5),Register!$B$5:$B$304,"&lt;="&amp;IF($C$6="",DATE(9999,1,1),$C$6))</f>
        <v>0</v>
      </c>
      <c r="F23" s="57" t="n">
        <f aca="false">COUNTIFS(Register!$I$5:$I$304,$B23,Register!$S$5:$S$304,"Yes",Register!$B$5:$B$304,"&gt;="&amp;IF($C$5="",DATE(1900,1,1),$C$5),Register!$B$5:$B$304,"&lt;="&amp;IF($C$6="",DATE(9999,1,1),$C$6))</f>
        <v>0</v>
      </c>
      <c r="G23" s="58" t="n">
        <f aca="false">IFERROR(AVERAGEIFS(Register!$W$5:$W$304,Register!$I$5:$I$304,$B23,Register!$B$5:$B$304,"&gt;="&amp;IF($C$5="",DATE(1900,1,1),$C$5),Register!$B$5:$B$304,"&lt;="&amp;IF($C$6="",DATE(9999,1,1),$C$6)),0)</f>
        <v>0</v>
      </c>
      <c r="H23" s="59" t="n">
        <f aca="false">SUMIFS(Register!$AB$5:$AB$304,Register!$I$5:$I$304,$B23,Register!$B$5:$B$304,"&gt;="&amp;IF($C$5="",DATE(1900,1,1),$C$5),Register!$B$5:$B$304,"&lt;="&amp;IF($C$6="",DATE(9999,1,1),$C$6))</f>
        <v>0</v>
      </c>
      <c r="I23" s="60" t="n">
        <f aca="false">IFERROR(SUMIFS(Register!$AB$5:$AB$304,Register!$I$5:$I$304,$B23,Register!$B$5:$B$304,"&gt;="&amp;IF($C$5="",DATE(1900,1,1),$C$5),Register!$B$5:$B$304,"&lt;="&amp;IF($C$6="",DATE(9999,1,1),$C$6))/$E$12,0)</f>
        <v>0</v>
      </c>
    </row>
    <row r="24" customFormat="false" ht="32.8" hidden="false" customHeight="false" outlineLevel="0" collapsed="false">
      <c r="B24" s="62" t="s">
        <v>368</v>
      </c>
      <c r="C24" s="63" t="n">
        <f aca="false">SUM(C16:C23)</f>
        <v>12</v>
      </c>
      <c r="D24" s="63" t="n">
        <f aca="false">SUM(D16:D23)</f>
        <v>5</v>
      </c>
      <c r="E24" s="63" t="n">
        <f aca="false">SUM(E16:E23)</f>
        <v>3</v>
      </c>
      <c r="F24" s="63" t="n">
        <f aca="false">SUM(F16:F23)</f>
        <v>6</v>
      </c>
      <c r="G24" s="64" t="n">
        <f aca="false">SUM(G16:G23)</f>
        <v>189</v>
      </c>
      <c r="H24" s="65" t="n">
        <f aca="false">SUM(H16:H23)</f>
        <v>55594</v>
      </c>
      <c r="I24" s="66"/>
      <c r="J24" s="67" t="str">
        <f aca="false">IF($E$12=0,"No data.","Most expensive department: "&amp;INDEX($B$16:$B$23,MATCH(MAX($H$16:$H$23),$H$16:$H$23,0))&amp;" — "&amp;TEXT(MAX($H$16:$H$23),"#,##0 €")&amp;" ("&amp;TEXT(MAX($H$16:$H$23)/$E$12,"0%")&amp;" of all damage). This is where investment pays back fastest.")</f>
        <v>Most expensive department: Logistics — 50,236 € (90% of all damage). This is where investment pays back fastest.</v>
      </c>
    </row>
    <row r="26" customFormat="false" ht="19.5" hidden="false" customHeight="true" outlineLevel="0" collapsed="false">
      <c r="B26" s="48" t="s">
        <v>369</v>
      </c>
      <c r="C26" s="48"/>
      <c r="D26" s="48"/>
      <c r="E26" s="48"/>
      <c r="F26" s="48"/>
      <c r="G26" s="48"/>
      <c r="H26" s="48"/>
      <c r="I26" s="48"/>
      <c r="J26" s="48"/>
    </row>
    <row r="27" customFormat="false" ht="30" hidden="false" customHeight="true" outlineLevel="0" collapsed="false">
      <c r="B27" s="49" t="s">
        <v>355</v>
      </c>
      <c r="C27" s="49" t="s">
        <v>362</v>
      </c>
      <c r="D27" s="49" t="s">
        <v>352</v>
      </c>
      <c r="E27" s="49" t="s">
        <v>356</v>
      </c>
      <c r="F27" s="49" t="s">
        <v>351</v>
      </c>
      <c r="G27" s="49" t="s">
        <v>370</v>
      </c>
      <c r="H27" s="49" t="s">
        <v>365</v>
      </c>
      <c r="I27" s="49" t="s">
        <v>371</v>
      </c>
    </row>
    <row r="28" customFormat="false" ht="15" hidden="false" customHeight="true" outlineLevel="0" collapsed="false">
      <c r="B28" s="56" t="str">
        <f aca="false">Lists!$G$5</f>
        <v>Agent 1</v>
      </c>
      <c r="C28" s="57" t="n">
        <f aca="false">COUNTIFS(Register!$M$5:$M$304,$B28,Register!$B$5:$B$304,"&gt;="&amp;IF($C$5="",DATE(1900,1,1),$C$5),Register!$B$5:$B$304,"&lt;="&amp;IF($C$6="",DATE(9999,1,1),$C$6))</f>
        <v>3</v>
      </c>
      <c r="D28" s="60" t="n">
        <f aca="false">IFERROR(COUNTIFS(Register!$M$5:$M$304,$B28,Register!$N$5:$N$304,"Yes",Register!$B$5:$B$304,"&gt;="&amp;IF($C$5="",DATE(1900,1,1),$C$5),Register!$B$5:$B$304,"&lt;="&amp;IF($C$6="",DATE(9999,1,1),$C$6))/COUNTIFS(Register!$M$5:$M$304,$B28,Register!$B$5:$B$304,"&gt;="&amp;IF($C$5="",DATE(1900,1,1),$C$5),Register!$B$5:$B$304,"&lt;="&amp;IF($C$6="",DATE(9999,1,1),$C$6)),0)</f>
        <v>0.333333333333333</v>
      </c>
      <c r="E28" s="57" t="n">
        <f aca="false">COUNTIFS(Register!$M$5:$M$304,$B28,Register!$S$5:$S$304,"Yes",Register!$B$5:$B$304,"&gt;="&amp;IF($C$5="",DATE(1900,1,1),$C$5),Register!$B$5:$B$304,"&lt;="&amp;IF($C$6="",DATE(9999,1,1),$C$6))</f>
        <v>2</v>
      </c>
      <c r="F28" s="57" t="n">
        <f aca="false">COUNTIFS(Register!$M$5:$M$304,$B28,Register!$AM$5:$AM$304,"OVERDUE",Register!$B$5:$B$304,"&gt;="&amp;IF($C$5="",DATE(1900,1,1),$C$5),Register!$B$5:$B$304,"&lt;="&amp;IF($C$6="",DATE(9999,1,1),$C$6))</f>
        <v>1</v>
      </c>
      <c r="G28" s="58" t="n">
        <f aca="false">IFERROR(AVERAGEIFS(Register!$O$5:$O$304,Register!$M$5:$M$304,$B28,Register!$B$5:$B$304,"&gt;="&amp;IF($C$5="",DATE(1900,1,1),$C$5),Register!$B$5:$B$304,"&lt;="&amp;IF($C$6="",DATE(9999,1,1),$C$6)),0)</f>
        <v>4</v>
      </c>
      <c r="H28" s="59" t="n">
        <f aca="false">SUMIFS(Register!$AB$5:$AB$304,Register!$M$5:$M$304,$B28,Register!$B$5:$B$304,"&gt;="&amp;IF($C$5="",DATE(1900,1,1),$C$5),Register!$B$5:$B$304,"&lt;="&amp;IF($C$6="",DATE(9999,1,1),$C$6))</f>
        <v>42394</v>
      </c>
      <c r="I28" s="57" t="n">
        <f aca="false">COUNTIFS(Register!$M$5:$M$304,$B28,Register!$R$5:$R$304,"People",Register!$B$5:$B$304,"&gt;="&amp;IF($C$5="",DATE(1900,1,1),$C$5),Register!$B$5:$B$304,"&lt;="&amp;IF($C$6="",DATE(9999,1,1),$C$6))</f>
        <v>0</v>
      </c>
      <c r="J28" s="68" t="s">
        <v>372</v>
      </c>
    </row>
    <row r="29" customFormat="false" ht="15" hidden="false" customHeight="false" outlineLevel="0" collapsed="false">
      <c r="B29" s="56" t="str">
        <f aca="false">Lists!$G$6</f>
        <v>Agent 2</v>
      </c>
      <c r="C29" s="57" t="n">
        <f aca="false">COUNTIFS(Register!$M$5:$M$304,$B29,Register!$B$5:$B$304,"&gt;="&amp;IF($C$5="",DATE(1900,1,1),$C$5),Register!$B$5:$B$304,"&lt;="&amp;IF($C$6="",DATE(9999,1,1),$C$6))</f>
        <v>2</v>
      </c>
      <c r="D29" s="60" t="n">
        <f aca="false">IFERROR(COUNTIFS(Register!$M$5:$M$304,$B29,Register!$N$5:$N$304,"Yes",Register!$B$5:$B$304,"&gt;="&amp;IF($C$5="",DATE(1900,1,1),$C$5),Register!$B$5:$B$304,"&lt;="&amp;IF($C$6="",DATE(9999,1,1),$C$6))/COUNTIFS(Register!$M$5:$M$304,$B29,Register!$B$5:$B$304,"&gt;="&amp;IF($C$5="",DATE(1900,1,1),$C$5),Register!$B$5:$B$304,"&lt;="&amp;IF($C$6="",DATE(9999,1,1),$C$6)),0)</f>
        <v>0</v>
      </c>
      <c r="E29" s="57" t="n">
        <f aca="false">COUNTIFS(Register!$M$5:$M$304,$B29,Register!$S$5:$S$304,"Yes",Register!$B$5:$B$304,"&gt;="&amp;IF($C$5="",DATE(1900,1,1),$C$5),Register!$B$5:$B$304,"&lt;="&amp;IF($C$6="",DATE(9999,1,1),$C$6))</f>
        <v>2</v>
      </c>
      <c r="F29" s="57" t="n">
        <f aca="false">COUNTIFS(Register!$M$5:$M$304,$B29,Register!$AM$5:$AM$304,"OVERDUE",Register!$B$5:$B$304,"&gt;="&amp;IF($C$5="",DATE(1900,1,1),$C$5),Register!$B$5:$B$304,"&lt;="&amp;IF($C$6="",DATE(9999,1,1),$C$6))</f>
        <v>0</v>
      </c>
      <c r="G29" s="58" t="n">
        <f aca="false">IFERROR(AVERAGEIFS(Register!$O$5:$O$304,Register!$M$5:$M$304,$B29,Register!$B$5:$B$304,"&gt;="&amp;IF($C$5="",DATE(1900,1,1),$C$5),Register!$B$5:$B$304,"&lt;="&amp;IF($C$6="",DATE(9999,1,1),$C$6)),0)</f>
        <v>3</v>
      </c>
      <c r="H29" s="59" t="n">
        <f aca="false">SUMIFS(Register!$AB$5:$AB$304,Register!$M$5:$M$304,$B29,Register!$B$5:$B$304,"&gt;="&amp;IF($C$5="",DATE(1900,1,1),$C$5),Register!$B$5:$B$304,"&lt;="&amp;IF($C$6="",DATE(9999,1,1),$C$6))</f>
        <v>7902</v>
      </c>
      <c r="I29" s="57" t="n">
        <f aca="false">COUNTIFS(Register!$M$5:$M$304,$B29,Register!$R$5:$R$304,"People",Register!$B$5:$B$304,"&gt;="&amp;IF($C$5="",DATE(1900,1,1),$C$5),Register!$B$5:$B$304,"&lt;="&amp;IF($C$6="",DATE(9999,1,1),$C$6))</f>
        <v>0</v>
      </c>
      <c r="J29" s="68"/>
    </row>
    <row r="30" customFormat="false" ht="15" hidden="false" customHeight="false" outlineLevel="0" collapsed="false">
      <c r="B30" s="56" t="str">
        <f aca="false">Lists!$G$7</f>
        <v>Agent 3</v>
      </c>
      <c r="C30" s="57" t="n">
        <f aca="false">COUNTIFS(Register!$M$5:$M$304,$B30,Register!$B$5:$B$304,"&gt;="&amp;IF($C$5="",DATE(1900,1,1),$C$5),Register!$B$5:$B$304,"&lt;="&amp;IF($C$6="",DATE(9999,1,1),$C$6))</f>
        <v>2</v>
      </c>
      <c r="D30" s="60" t="n">
        <f aca="false">IFERROR(COUNTIFS(Register!$M$5:$M$304,$B30,Register!$N$5:$N$304,"Yes",Register!$B$5:$B$304,"&gt;="&amp;IF($C$5="",DATE(1900,1,1),$C$5),Register!$B$5:$B$304,"&lt;="&amp;IF($C$6="",DATE(9999,1,1),$C$6))/COUNTIFS(Register!$M$5:$M$304,$B30,Register!$B$5:$B$304,"&gt;="&amp;IF($C$5="",DATE(1900,1,1),$C$5),Register!$B$5:$B$304,"&lt;="&amp;IF($C$6="",DATE(9999,1,1),$C$6)),0)</f>
        <v>0.5</v>
      </c>
      <c r="E30" s="57" t="n">
        <f aca="false">COUNTIFS(Register!$M$5:$M$304,$B30,Register!$S$5:$S$304,"Yes",Register!$B$5:$B$304,"&gt;="&amp;IF($C$5="",DATE(1900,1,1),$C$5),Register!$B$5:$B$304,"&lt;="&amp;IF($C$6="",DATE(9999,1,1),$C$6))</f>
        <v>0</v>
      </c>
      <c r="F30" s="57" t="n">
        <f aca="false">COUNTIFS(Register!$M$5:$M$304,$B30,Register!$AM$5:$AM$304,"OVERDUE",Register!$B$5:$B$304,"&gt;="&amp;IF($C$5="",DATE(1900,1,1),$C$5),Register!$B$5:$B$304,"&lt;="&amp;IF($C$6="",DATE(9999,1,1),$C$6))</f>
        <v>1</v>
      </c>
      <c r="G30" s="58" t="n">
        <f aca="false">IFERROR(AVERAGEIFS(Register!$O$5:$O$304,Register!$M$5:$M$304,$B30,Register!$B$5:$B$304,"&gt;="&amp;IF($C$5="",DATE(1900,1,1),$C$5),Register!$B$5:$B$304,"&lt;="&amp;IF($C$6="",DATE(9999,1,1),$C$6)),0)</f>
        <v>1.5</v>
      </c>
      <c r="H30" s="59" t="n">
        <f aca="false">SUMIFS(Register!$AB$5:$AB$304,Register!$M$5:$M$304,$B30,Register!$B$5:$B$304,"&gt;="&amp;IF($C$5="",DATE(1900,1,1),$C$5),Register!$B$5:$B$304,"&lt;="&amp;IF($C$6="",DATE(9999,1,1),$C$6))</f>
        <v>36</v>
      </c>
      <c r="I30" s="57" t="n">
        <f aca="false">COUNTIFS(Register!$M$5:$M$304,$B30,Register!$R$5:$R$304,"People",Register!$B$5:$B$304,"&gt;="&amp;IF($C$5="",DATE(1900,1,1),$C$5),Register!$B$5:$B$304,"&lt;="&amp;IF($C$6="",DATE(9999,1,1),$C$6))</f>
        <v>0</v>
      </c>
      <c r="J30" s="68"/>
    </row>
    <row r="31" customFormat="false" ht="15" hidden="false" customHeight="false" outlineLevel="0" collapsed="false">
      <c r="B31" s="56" t="str">
        <f aca="false">Lists!$G$8</f>
        <v>Agent 4</v>
      </c>
      <c r="C31" s="57" t="n">
        <f aca="false">COUNTIFS(Register!$M$5:$M$304,$B31,Register!$B$5:$B$304,"&gt;="&amp;IF($C$5="",DATE(1900,1,1),$C$5),Register!$B$5:$B$304,"&lt;="&amp;IF($C$6="",DATE(9999,1,1),$C$6))</f>
        <v>2</v>
      </c>
      <c r="D31" s="60" t="n">
        <f aca="false">IFERROR(COUNTIFS(Register!$M$5:$M$304,$B31,Register!$N$5:$N$304,"Yes",Register!$B$5:$B$304,"&gt;="&amp;IF($C$5="",DATE(1900,1,1),$C$5),Register!$B$5:$B$304,"&lt;="&amp;IF($C$6="",DATE(9999,1,1),$C$6))/COUNTIFS(Register!$M$5:$M$304,$B31,Register!$B$5:$B$304,"&gt;="&amp;IF($C$5="",DATE(1900,1,1),$C$5),Register!$B$5:$B$304,"&lt;="&amp;IF($C$6="",DATE(9999,1,1),$C$6)),0)</f>
        <v>0.5</v>
      </c>
      <c r="E31" s="57" t="n">
        <f aca="false">COUNTIFS(Register!$M$5:$M$304,$B31,Register!$S$5:$S$304,"Yes",Register!$B$5:$B$304,"&gt;="&amp;IF($C$5="",DATE(1900,1,1),$C$5),Register!$B$5:$B$304,"&lt;="&amp;IF($C$6="",DATE(9999,1,1),$C$6))</f>
        <v>0</v>
      </c>
      <c r="F31" s="57" t="n">
        <f aca="false">COUNTIFS(Register!$M$5:$M$304,$B31,Register!$AM$5:$AM$304,"OVERDUE",Register!$B$5:$B$304,"&gt;="&amp;IF($C$5="",DATE(1900,1,1),$C$5),Register!$B$5:$B$304,"&lt;="&amp;IF($C$6="",DATE(9999,1,1),$C$6))</f>
        <v>1</v>
      </c>
      <c r="G31" s="58" t="n">
        <f aca="false">IFERROR(AVERAGEIFS(Register!$O$5:$O$304,Register!$M$5:$M$304,$B31,Register!$B$5:$B$304,"&gt;="&amp;IF($C$5="",DATE(1900,1,1),$C$5),Register!$B$5:$B$304,"&lt;="&amp;IF($C$6="",DATE(9999,1,1),$C$6)),0)</f>
        <v>1.5</v>
      </c>
      <c r="H31" s="59" t="n">
        <f aca="false">SUMIFS(Register!$AB$5:$AB$304,Register!$M$5:$M$304,$B31,Register!$B$5:$B$304,"&gt;="&amp;IF($C$5="",DATE(1900,1,1),$C$5),Register!$B$5:$B$304,"&lt;="&amp;IF($C$6="",DATE(9999,1,1),$C$6))</f>
        <v>36</v>
      </c>
      <c r="I31" s="57" t="n">
        <f aca="false">COUNTIFS(Register!$M$5:$M$304,$B31,Register!$R$5:$R$304,"People",Register!$B$5:$B$304,"&gt;="&amp;IF($C$5="",DATE(1900,1,1),$C$5),Register!$B$5:$B$304,"&lt;="&amp;IF($C$6="",DATE(9999,1,1),$C$6))</f>
        <v>0</v>
      </c>
      <c r="J31" s="68"/>
    </row>
    <row r="32" customFormat="false" ht="15" hidden="false" customHeight="false" outlineLevel="0" collapsed="false">
      <c r="B32" s="56" t="str">
        <f aca="false">Lists!$G$9</f>
        <v>Agent 5</v>
      </c>
      <c r="C32" s="57" t="n">
        <f aca="false">COUNTIFS(Register!$M$5:$M$304,$B32,Register!$B$5:$B$304,"&gt;="&amp;IF($C$5="",DATE(1900,1,1),$C$5),Register!$B$5:$B$304,"&lt;="&amp;IF($C$6="",DATE(9999,1,1),$C$6))</f>
        <v>2</v>
      </c>
      <c r="D32" s="60" t="n">
        <f aca="false">IFERROR(COUNTIFS(Register!$M$5:$M$304,$B32,Register!$N$5:$N$304,"Yes",Register!$B$5:$B$304,"&gt;="&amp;IF($C$5="",DATE(1900,1,1),$C$5),Register!$B$5:$B$304,"&lt;="&amp;IF($C$6="",DATE(9999,1,1),$C$6))/COUNTIFS(Register!$M$5:$M$304,$B32,Register!$B$5:$B$304,"&gt;="&amp;IF($C$5="",DATE(1900,1,1),$C$5),Register!$B$5:$B$304,"&lt;="&amp;IF($C$6="",DATE(9999,1,1),$C$6)),0)</f>
        <v>0.5</v>
      </c>
      <c r="E32" s="57" t="n">
        <f aca="false">COUNTIFS(Register!$M$5:$M$304,$B32,Register!$S$5:$S$304,"Yes",Register!$B$5:$B$304,"&gt;="&amp;IF($C$5="",DATE(1900,1,1),$C$5),Register!$B$5:$B$304,"&lt;="&amp;IF($C$6="",DATE(9999,1,1),$C$6))</f>
        <v>2</v>
      </c>
      <c r="F32" s="57" t="n">
        <f aca="false">COUNTIFS(Register!$M$5:$M$304,$B32,Register!$AM$5:$AM$304,"OVERDUE",Register!$B$5:$B$304,"&gt;="&amp;IF($C$5="",DATE(1900,1,1),$C$5),Register!$B$5:$B$304,"&lt;="&amp;IF($C$6="",DATE(9999,1,1),$C$6))</f>
        <v>1</v>
      </c>
      <c r="G32" s="58" t="n">
        <f aca="false">IFERROR(AVERAGEIFS(Register!$O$5:$O$304,Register!$M$5:$M$304,$B32,Register!$B$5:$B$304,"&gt;="&amp;IF($C$5="",DATE(1900,1,1),$C$5),Register!$B$5:$B$304,"&lt;="&amp;IF($C$6="",DATE(9999,1,1),$C$6)),0)</f>
        <v>1.5</v>
      </c>
      <c r="H32" s="59" t="n">
        <f aca="false">SUMIFS(Register!$AB$5:$AB$304,Register!$M$5:$M$304,$B32,Register!$B$5:$B$304,"&gt;="&amp;IF($C$5="",DATE(1900,1,1),$C$5),Register!$B$5:$B$304,"&lt;="&amp;IF($C$6="",DATE(9999,1,1),$C$6))</f>
        <v>2966</v>
      </c>
      <c r="I32" s="57" t="n">
        <f aca="false">COUNTIFS(Register!$M$5:$M$304,$B32,Register!$R$5:$R$304,"People",Register!$B$5:$B$304,"&gt;="&amp;IF($C$5="",DATE(1900,1,1),$C$5),Register!$B$5:$B$304,"&lt;="&amp;IF($C$6="",DATE(9999,1,1),$C$6))</f>
        <v>0</v>
      </c>
    </row>
    <row r="33" customFormat="false" ht="15" hidden="false" customHeight="false" outlineLevel="0" collapsed="false">
      <c r="B33" s="56" t="str">
        <f aca="false">Lists!$G$10</f>
        <v>Agent 6</v>
      </c>
      <c r="C33" s="57" t="n">
        <f aca="false">COUNTIFS(Register!$M$5:$M$304,$B33,Register!$B$5:$B$304,"&gt;="&amp;IF($C$5="",DATE(1900,1,1),$C$5),Register!$B$5:$B$304,"&lt;="&amp;IF($C$6="",DATE(9999,1,1),$C$6))</f>
        <v>1</v>
      </c>
      <c r="D33" s="60" t="n">
        <f aca="false">IFERROR(COUNTIFS(Register!$M$5:$M$304,$B33,Register!$N$5:$N$304,"Yes",Register!$B$5:$B$304,"&gt;="&amp;IF($C$5="",DATE(1900,1,1),$C$5),Register!$B$5:$B$304,"&lt;="&amp;IF($C$6="",DATE(9999,1,1),$C$6))/COUNTIFS(Register!$M$5:$M$304,$B33,Register!$B$5:$B$304,"&gt;="&amp;IF($C$5="",DATE(1900,1,1),$C$5),Register!$B$5:$B$304,"&lt;="&amp;IF($C$6="",DATE(9999,1,1),$C$6)),0)</f>
        <v>0</v>
      </c>
      <c r="E33" s="57" t="n">
        <f aca="false">COUNTIFS(Register!$M$5:$M$304,$B33,Register!$S$5:$S$304,"Yes",Register!$B$5:$B$304,"&gt;="&amp;IF($C$5="",DATE(1900,1,1),$C$5),Register!$B$5:$B$304,"&lt;="&amp;IF($C$6="",DATE(9999,1,1),$C$6))</f>
        <v>0</v>
      </c>
      <c r="F33" s="57" t="n">
        <f aca="false">COUNTIFS(Register!$M$5:$M$304,$B33,Register!$AM$5:$AM$304,"OVERDUE",Register!$B$5:$B$304,"&gt;="&amp;IF($C$5="",DATE(1900,1,1),$C$5),Register!$B$5:$B$304,"&lt;="&amp;IF($C$6="",DATE(9999,1,1),$C$6))</f>
        <v>0</v>
      </c>
      <c r="G33" s="58" t="n">
        <f aca="false">IFERROR(AVERAGEIFS(Register!$O$5:$O$304,Register!$M$5:$M$304,$B33,Register!$B$5:$B$304,"&gt;="&amp;IF($C$5="",DATE(1900,1,1),$C$5),Register!$B$5:$B$304,"&lt;="&amp;IF($C$6="",DATE(9999,1,1),$C$6)),0)</f>
        <v>5</v>
      </c>
      <c r="H33" s="59" t="n">
        <f aca="false">SUMIFS(Register!$AB$5:$AB$304,Register!$M$5:$M$304,$B33,Register!$B$5:$B$304,"&gt;="&amp;IF($C$5="",DATE(1900,1,1),$C$5),Register!$B$5:$B$304,"&lt;="&amp;IF($C$6="",DATE(9999,1,1),$C$6))</f>
        <v>2260</v>
      </c>
      <c r="I33" s="57" t="n">
        <f aca="false">COUNTIFS(Register!$M$5:$M$304,$B33,Register!$R$5:$R$304,"People",Register!$B$5:$B$304,"&gt;="&amp;IF($C$5="",DATE(1900,1,1),$C$5),Register!$B$5:$B$304,"&lt;="&amp;IF($C$6="",DATE(9999,1,1),$C$6))</f>
        <v>1</v>
      </c>
    </row>
    <row r="34" customFormat="false" ht="15" hidden="false" customHeight="false" outlineLevel="0" collapsed="false">
      <c r="B34" s="56" t="str">
        <f aca="false">Lists!$G$11</f>
        <v>Team lead</v>
      </c>
      <c r="C34" s="57" t="n">
        <f aca="false">COUNTIFS(Register!$M$5:$M$304,$B34,Register!$B$5:$B$304,"&gt;="&amp;IF($C$5="",DATE(1900,1,1),$C$5),Register!$B$5:$B$304,"&lt;="&amp;IF($C$6="",DATE(9999,1,1),$C$6))</f>
        <v>0</v>
      </c>
      <c r="D34" s="60" t="n">
        <f aca="false">IFERROR(COUNTIFS(Register!$M$5:$M$304,$B34,Register!$N$5:$N$304,"Yes",Register!$B$5:$B$304,"&gt;="&amp;IF($C$5="",DATE(1900,1,1),$C$5),Register!$B$5:$B$304,"&lt;="&amp;IF($C$6="",DATE(9999,1,1),$C$6))/COUNTIFS(Register!$M$5:$M$304,$B34,Register!$B$5:$B$304,"&gt;="&amp;IF($C$5="",DATE(1900,1,1),$C$5),Register!$B$5:$B$304,"&lt;="&amp;IF($C$6="",DATE(9999,1,1),$C$6)),0)</f>
        <v>0</v>
      </c>
      <c r="E34" s="57" t="n">
        <f aca="false">COUNTIFS(Register!$M$5:$M$304,$B34,Register!$S$5:$S$304,"Yes",Register!$B$5:$B$304,"&gt;="&amp;IF($C$5="",DATE(1900,1,1),$C$5),Register!$B$5:$B$304,"&lt;="&amp;IF($C$6="",DATE(9999,1,1),$C$6))</f>
        <v>0</v>
      </c>
      <c r="F34" s="57" t="n">
        <f aca="false">COUNTIFS(Register!$M$5:$M$304,$B34,Register!$AM$5:$AM$304,"OVERDUE",Register!$B$5:$B$304,"&gt;="&amp;IF($C$5="",DATE(1900,1,1),$C$5),Register!$B$5:$B$304,"&lt;="&amp;IF($C$6="",DATE(9999,1,1),$C$6))</f>
        <v>0</v>
      </c>
      <c r="G34" s="58" t="n">
        <f aca="false">IFERROR(AVERAGEIFS(Register!$O$5:$O$304,Register!$M$5:$M$304,$B34,Register!$B$5:$B$304,"&gt;="&amp;IF($C$5="",DATE(1900,1,1),$C$5),Register!$B$5:$B$304,"&lt;="&amp;IF($C$6="",DATE(9999,1,1),$C$6)),0)</f>
        <v>0</v>
      </c>
      <c r="H34" s="59" t="n">
        <f aca="false">SUMIFS(Register!$AB$5:$AB$304,Register!$M$5:$M$304,$B34,Register!$B$5:$B$304,"&gt;="&amp;IF($C$5="",DATE(1900,1,1),$C$5),Register!$B$5:$B$304,"&lt;="&amp;IF($C$6="",DATE(9999,1,1),$C$6))</f>
        <v>0</v>
      </c>
      <c r="I34" s="57" t="n">
        <f aca="false">COUNTIFS(Register!$M$5:$M$304,$B34,Register!$R$5:$R$304,"People",Register!$B$5:$B$304,"&gt;="&amp;IF($C$5="",DATE(1900,1,1),$C$5),Register!$B$5:$B$304,"&lt;="&amp;IF($C$6="",DATE(9999,1,1),$C$6))</f>
        <v>0</v>
      </c>
    </row>
    <row r="35" customFormat="false" ht="15" hidden="false" customHeight="false" outlineLevel="0" collapsed="false">
      <c r="B35" s="62" t="s">
        <v>368</v>
      </c>
      <c r="C35" s="63" t="n">
        <f aca="false">SUM(C28:C34)</f>
        <v>12</v>
      </c>
      <c r="D35" s="66"/>
      <c r="E35" s="63" t="n">
        <f aca="false">SUM(E28:E34)</f>
        <v>6</v>
      </c>
      <c r="F35" s="63" t="n">
        <f aca="false">SUM(F28:F34)</f>
        <v>4</v>
      </c>
      <c r="G35" s="64" t="n">
        <f aca="false">SUM(G28:G34)</f>
        <v>16.5</v>
      </c>
      <c r="H35" s="65" t="n">
        <f aca="false">SUM(H28:H34)</f>
        <v>55594</v>
      </c>
      <c r="I35" s="63" t="n">
        <f aca="false">SUM(I28:I34)</f>
        <v>1</v>
      </c>
    </row>
    <row r="37" customFormat="false" ht="19.5" hidden="false" customHeight="true" outlineLevel="0" collapsed="false">
      <c r="B37" s="48" t="s">
        <v>373</v>
      </c>
      <c r="C37" s="48"/>
      <c r="D37" s="48"/>
      <c r="E37" s="48"/>
      <c r="F37" s="48"/>
      <c r="G37" s="48"/>
      <c r="H37" s="48"/>
      <c r="I37" s="48"/>
      <c r="J37" s="48"/>
    </row>
    <row r="38" customFormat="false" ht="30" hidden="false" customHeight="true" outlineLevel="0" collapsed="false">
      <c r="B38" s="49" t="s">
        <v>355</v>
      </c>
      <c r="C38" s="49" t="s">
        <v>362</v>
      </c>
      <c r="D38" s="49" t="s">
        <v>93</v>
      </c>
      <c r="E38" s="49" t="s">
        <v>351</v>
      </c>
      <c r="F38" s="49" t="s">
        <v>356</v>
      </c>
      <c r="G38" s="49" t="s">
        <v>374</v>
      </c>
      <c r="H38" s="49" t="s">
        <v>365</v>
      </c>
      <c r="I38" s="49" t="s">
        <v>375</v>
      </c>
    </row>
    <row r="39" customFormat="false" ht="15" hidden="false" customHeight="false" outlineLevel="0" collapsed="false">
      <c r="B39" s="56" t="str">
        <f aca="false">Lists!$E$5</f>
        <v>Awareness</v>
      </c>
      <c r="C39" s="57" t="n">
        <f aca="false">COUNTIFS(Register!$J$5:$J$304,$B39,Register!$B$5:$B$304,"&gt;="&amp;IF($C$5="",DATE(1900,1,1),$C$5),Register!$B$5:$B$304,"&lt;="&amp;IF($C$6="",DATE(9999,1,1),$C$6))</f>
        <v>0</v>
      </c>
      <c r="D39" s="57" t="n">
        <f aca="false">COUNTIFS(Register!$J$5:$J$304,$B39,Register!$B$5:$B$304,"&gt;="&amp;IF($C$5="",DATE(1900,1,1),$C$5),Register!$B$5:$B$304,"&lt;="&amp;IF($C$6="",DATE(9999,1,1),$C$6))-COUNTIFS(Register!$J$5:$J$304,$B39,Register!$AI$5:$AI$304,"Closed",Register!$B$5:$B$304,"&gt;="&amp;IF($C$5="",DATE(1900,1,1),$C$5),Register!$B$5:$B$304,"&lt;="&amp;IF($C$6="",DATE(9999,1,1),$C$6))-COUNTIFS(Register!$J$5:$J$304,$B39,Register!$AI$5:$AI$304,"Rejected",Register!$B$5:$B$304,"&gt;="&amp;IF($C$5="",DATE(1900,1,1),$C$5),Register!$B$5:$B$304,"&lt;="&amp;IF($C$6="",DATE(9999,1,1),$C$6))</f>
        <v>0</v>
      </c>
      <c r="E39" s="57" t="n">
        <f aca="false">COUNTIFS(Register!$J$5:$J$304,$B39,Register!$AM$5:$AM$304,"OVERDUE",Register!$B$5:$B$304,"&gt;="&amp;IF($C$5="",DATE(1900,1,1),$C$5),Register!$B$5:$B$304,"&lt;="&amp;IF($C$6="",DATE(9999,1,1),$C$6))</f>
        <v>0</v>
      </c>
      <c r="F39" s="57" t="n">
        <f aca="false">COUNTIFS(Register!$J$5:$J$304,$B39,Register!$S$5:$S$304,"Yes",Register!$B$5:$B$304,"&gt;="&amp;IF($C$5="",DATE(1900,1,1),$C$5),Register!$B$5:$B$304,"&lt;="&amp;IF($C$6="",DATE(9999,1,1),$C$6))</f>
        <v>0</v>
      </c>
      <c r="G39" s="57" t="n">
        <f aca="false">SUMIFS(Register!$W$5:$W$304,Register!$J$5:$J$304,$B39,Register!$B$5:$B$304,"&gt;="&amp;IF($C$5="",DATE(1900,1,1),$C$5),Register!$B$5:$B$304,"&lt;="&amp;IF($C$6="",DATE(9999,1,1),$C$6))</f>
        <v>0</v>
      </c>
      <c r="H39" s="59" t="n">
        <f aca="false">SUMIFS(Register!$AB$5:$AB$304,Register!$J$5:$J$304,$B39,Register!$B$5:$B$304,"&gt;="&amp;IF($C$5="",DATE(1900,1,1),$C$5),Register!$B$5:$B$304,"&lt;="&amp;IF($C$6="",DATE(9999,1,1),$C$6))</f>
        <v>0</v>
      </c>
      <c r="I39" s="58" t="n">
        <f aca="false">IFERROR(AVERAGEIFS(Register!$AK$5:$AK$304,Register!$J$5:$J$304,$B39,Register!$B$5:$B$304,"&gt;="&amp;IF($C$5="",DATE(1900,1,1),$C$5),Register!$B$5:$B$304,"&lt;="&amp;IF($C$6="",DATE(9999,1,1),$C$6),Register!$AK$5:$AK$304,"&gt;=0"),0)</f>
        <v>0</v>
      </c>
    </row>
    <row r="40" customFormat="false" ht="15" hidden="false" customHeight="false" outlineLevel="0" collapsed="false">
      <c r="B40" s="56" t="str">
        <f aca="false">Lists!$E$6</f>
        <v>Sales</v>
      </c>
      <c r="C40" s="57" t="n">
        <f aca="false">COUNTIFS(Register!$J$5:$J$304,$B40,Register!$B$5:$B$304,"&gt;="&amp;IF($C$5="",DATE(1900,1,1),$C$5),Register!$B$5:$B$304,"&lt;="&amp;IF($C$6="",DATE(9999,1,1),$C$6))</f>
        <v>1</v>
      </c>
      <c r="D40" s="57" t="n">
        <f aca="false">COUNTIFS(Register!$J$5:$J$304,$B40,Register!$B$5:$B$304,"&gt;="&amp;IF($C$5="",DATE(1900,1,1),$C$5),Register!$B$5:$B$304,"&lt;="&amp;IF($C$6="",DATE(9999,1,1),$C$6))-COUNTIFS(Register!$J$5:$J$304,$B40,Register!$AI$5:$AI$304,"Closed",Register!$B$5:$B$304,"&gt;="&amp;IF($C$5="",DATE(1900,1,1),$C$5),Register!$B$5:$B$304,"&lt;="&amp;IF($C$6="",DATE(9999,1,1),$C$6))-COUNTIFS(Register!$J$5:$J$304,$B40,Register!$AI$5:$AI$304,"Rejected",Register!$B$5:$B$304,"&gt;="&amp;IF($C$5="",DATE(1900,1,1),$C$5),Register!$B$5:$B$304,"&lt;="&amp;IF($C$6="",DATE(9999,1,1),$C$6))</f>
        <v>1</v>
      </c>
      <c r="E40" s="57" t="n">
        <f aca="false">COUNTIFS(Register!$J$5:$J$304,$B40,Register!$AM$5:$AM$304,"OVERDUE",Register!$B$5:$B$304,"&gt;="&amp;IF($C$5="",DATE(1900,1,1),$C$5),Register!$B$5:$B$304,"&lt;="&amp;IF($C$6="",DATE(9999,1,1),$C$6))</f>
        <v>0</v>
      </c>
      <c r="F40" s="57" t="n">
        <f aca="false">COUNTIFS(Register!$J$5:$J$304,$B40,Register!$S$5:$S$304,"Yes",Register!$B$5:$B$304,"&gt;="&amp;IF($C$5="",DATE(1900,1,1),$C$5),Register!$B$5:$B$304,"&lt;="&amp;IF($C$6="",DATE(9999,1,1),$C$6))</f>
        <v>0</v>
      </c>
      <c r="G40" s="57" t="n">
        <f aca="false">SUMIFS(Register!$W$5:$W$304,Register!$J$5:$J$304,$B40,Register!$B$5:$B$304,"&gt;="&amp;IF($C$5="",DATE(1900,1,1),$C$5),Register!$B$5:$B$304,"&lt;="&amp;IF($C$6="",DATE(9999,1,1),$C$6))</f>
        <v>18</v>
      </c>
      <c r="H40" s="59" t="n">
        <f aca="false">SUMIFS(Register!$AB$5:$AB$304,Register!$J$5:$J$304,$B40,Register!$B$5:$B$304,"&gt;="&amp;IF($C$5="",DATE(1900,1,1),$C$5),Register!$B$5:$B$304,"&lt;="&amp;IF($C$6="",DATE(9999,1,1),$C$6))</f>
        <v>24</v>
      </c>
      <c r="I40" s="58" t="n">
        <f aca="false">IFERROR(AVERAGEIFS(Register!$AK$5:$AK$304,Register!$J$5:$J$304,$B40,Register!$B$5:$B$304,"&gt;="&amp;IF($C$5="",DATE(1900,1,1),$C$5),Register!$B$5:$B$304,"&lt;="&amp;IF($C$6="",DATE(9999,1,1),$C$6),Register!$AK$5:$AK$304,"&gt;=0"),0)</f>
        <v>0</v>
      </c>
    </row>
    <row r="41" customFormat="false" ht="15" hidden="false" customHeight="false" outlineLevel="0" collapsed="false">
      <c r="B41" s="56" t="str">
        <f aca="false">Lists!$E$7</f>
        <v>Contract</v>
      </c>
      <c r="C41" s="57" t="n">
        <f aca="false">COUNTIFS(Register!$J$5:$J$304,$B41,Register!$B$5:$B$304,"&gt;="&amp;IF($C$5="",DATE(1900,1,1),$C$5),Register!$B$5:$B$304,"&lt;="&amp;IF($C$6="",DATE(9999,1,1),$C$6))</f>
        <v>1</v>
      </c>
      <c r="D41" s="57" t="n">
        <f aca="false">COUNTIFS(Register!$J$5:$J$304,$B41,Register!$B$5:$B$304,"&gt;="&amp;IF($C$5="",DATE(1900,1,1),$C$5),Register!$B$5:$B$304,"&lt;="&amp;IF($C$6="",DATE(9999,1,1),$C$6))-COUNTIFS(Register!$J$5:$J$304,$B41,Register!$AI$5:$AI$304,"Closed",Register!$B$5:$B$304,"&gt;="&amp;IF($C$5="",DATE(1900,1,1),$C$5),Register!$B$5:$B$304,"&lt;="&amp;IF($C$6="",DATE(9999,1,1),$C$6))-COUNTIFS(Register!$J$5:$J$304,$B41,Register!$AI$5:$AI$304,"Rejected",Register!$B$5:$B$304,"&gt;="&amp;IF($C$5="",DATE(1900,1,1),$C$5),Register!$B$5:$B$304,"&lt;="&amp;IF($C$6="",DATE(9999,1,1),$C$6))</f>
        <v>0</v>
      </c>
      <c r="E41" s="57" t="n">
        <f aca="false">COUNTIFS(Register!$J$5:$J$304,$B41,Register!$AM$5:$AM$304,"OVERDUE",Register!$B$5:$B$304,"&gt;="&amp;IF($C$5="",DATE(1900,1,1),$C$5),Register!$B$5:$B$304,"&lt;="&amp;IF($C$6="",DATE(9999,1,1),$C$6))</f>
        <v>0</v>
      </c>
      <c r="F41" s="57" t="n">
        <f aca="false">COUNTIFS(Register!$J$5:$J$304,$B41,Register!$S$5:$S$304,"Yes",Register!$B$5:$B$304,"&gt;="&amp;IF($C$5="",DATE(1900,1,1),$C$5),Register!$B$5:$B$304,"&lt;="&amp;IF($C$6="",DATE(9999,1,1),$C$6))</f>
        <v>0</v>
      </c>
      <c r="G41" s="57" t="n">
        <f aca="false">SUMIFS(Register!$W$5:$W$304,Register!$J$5:$J$304,$B41,Register!$B$5:$B$304,"&gt;="&amp;IF($C$5="",DATE(1900,1,1),$C$5),Register!$B$5:$B$304,"&lt;="&amp;IF($C$6="",DATE(9999,1,1),$C$6))</f>
        <v>18</v>
      </c>
      <c r="H41" s="59" t="n">
        <f aca="false">SUMIFS(Register!$AB$5:$AB$304,Register!$J$5:$J$304,$B41,Register!$B$5:$B$304,"&gt;="&amp;IF($C$5="",DATE(1900,1,1),$C$5),Register!$B$5:$B$304,"&lt;="&amp;IF($C$6="",DATE(9999,1,1),$C$6))</f>
        <v>24</v>
      </c>
      <c r="I41" s="58" t="n">
        <f aca="false">IFERROR(AVERAGEIFS(Register!$AK$5:$AK$304,Register!$J$5:$J$304,$B41,Register!$B$5:$B$304,"&gt;="&amp;IF($C$5="",DATE(1900,1,1),$C$5),Register!$B$5:$B$304,"&lt;="&amp;IF($C$6="",DATE(9999,1,1),$C$6),Register!$AK$5:$AK$304,"&gt;=0"),0)</f>
        <v>1</v>
      </c>
    </row>
    <row r="42" customFormat="false" ht="15" hidden="false" customHeight="false" outlineLevel="0" collapsed="false">
      <c r="B42" s="56" t="str">
        <f aca="false">Lists!$E$8</f>
        <v>Onboarding</v>
      </c>
      <c r="C42" s="57" t="n">
        <f aca="false">COUNTIFS(Register!$J$5:$J$304,$B42,Register!$B$5:$B$304,"&gt;="&amp;IF($C$5="",DATE(1900,1,1),$C$5),Register!$B$5:$B$304,"&lt;="&amp;IF($C$6="",DATE(9999,1,1),$C$6))</f>
        <v>1</v>
      </c>
      <c r="D42" s="57" t="n">
        <f aca="false">COUNTIFS(Register!$J$5:$J$304,$B42,Register!$B$5:$B$304,"&gt;="&amp;IF($C$5="",DATE(1900,1,1),$C$5),Register!$B$5:$B$304,"&lt;="&amp;IF($C$6="",DATE(9999,1,1),$C$6))-COUNTIFS(Register!$J$5:$J$304,$B42,Register!$AI$5:$AI$304,"Closed",Register!$B$5:$B$304,"&gt;="&amp;IF($C$5="",DATE(1900,1,1),$C$5),Register!$B$5:$B$304,"&lt;="&amp;IF($C$6="",DATE(9999,1,1),$C$6))-COUNTIFS(Register!$J$5:$J$304,$B42,Register!$AI$5:$AI$304,"Rejected",Register!$B$5:$B$304,"&gt;="&amp;IF($C$5="",DATE(1900,1,1),$C$5),Register!$B$5:$B$304,"&lt;="&amp;IF($C$6="",DATE(9999,1,1),$C$6))</f>
        <v>0</v>
      </c>
      <c r="E42" s="57" t="n">
        <f aca="false">COUNTIFS(Register!$J$5:$J$304,$B42,Register!$AM$5:$AM$304,"OVERDUE",Register!$B$5:$B$304,"&gt;="&amp;IF($C$5="",DATE(1900,1,1),$C$5),Register!$B$5:$B$304,"&lt;="&amp;IF($C$6="",DATE(9999,1,1),$C$6))</f>
        <v>0</v>
      </c>
      <c r="F42" s="57" t="n">
        <f aca="false">COUNTIFS(Register!$J$5:$J$304,$B42,Register!$S$5:$S$304,"Yes",Register!$B$5:$B$304,"&gt;="&amp;IF($C$5="",DATE(1900,1,1),$C$5),Register!$B$5:$B$304,"&lt;="&amp;IF($C$6="",DATE(9999,1,1),$C$6))</f>
        <v>1</v>
      </c>
      <c r="G42" s="57" t="n">
        <f aca="false">SUMIFS(Register!$W$5:$W$304,Register!$J$5:$J$304,$B42,Register!$B$5:$B$304,"&gt;="&amp;IF($C$5="",DATE(1900,1,1),$C$5),Register!$B$5:$B$304,"&lt;="&amp;IF($C$6="",DATE(9999,1,1),$C$6))</f>
        <v>32</v>
      </c>
      <c r="H42" s="59" t="n">
        <f aca="false">SUMIFS(Register!$AB$5:$AB$304,Register!$J$5:$J$304,$B42,Register!$B$5:$B$304,"&gt;="&amp;IF($C$5="",DATE(1900,1,1),$C$5),Register!$B$5:$B$304,"&lt;="&amp;IF($C$6="",DATE(9999,1,1),$C$6))</f>
        <v>36</v>
      </c>
      <c r="I42" s="58" t="n">
        <f aca="false">IFERROR(AVERAGEIFS(Register!$AK$5:$AK$304,Register!$J$5:$J$304,$B42,Register!$B$5:$B$304,"&gt;="&amp;IF($C$5="",DATE(1900,1,1),$C$5),Register!$B$5:$B$304,"&lt;="&amp;IF($C$6="",DATE(9999,1,1),$C$6),Register!$AK$5:$AK$304,"&gt;=0"),0)</f>
        <v>8</v>
      </c>
    </row>
    <row r="43" customFormat="false" ht="15" hidden="false" customHeight="false" outlineLevel="0" collapsed="false">
      <c r="B43" s="56" t="str">
        <f aca="false">Lists!$E$9</f>
        <v>Ordering</v>
      </c>
      <c r="C43" s="57" t="n">
        <f aca="false">COUNTIFS(Register!$J$5:$J$304,$B43,Register!$B$5:$B$304,"&gt;="&amp;IF($C$5="",DATE(1900,1,1),$C$5),Register!$B$5:$B$304,"&lt;="&amp;IF($C$6="",DATE(9999,1,1),$C$6))</f>
        <v>1</v>
      </c>
      <c r="D43" s="57" t="n">
        <f aca="false">COUNTIFS(Register!$J$5:$J$304,$B43,Register!$B$5:$B$304,"&gt;="&amp;IF($C$5="",DATE(1900,1,1),$C$5),Register!$B$5:$B$304,"&lt;="&amp;IF($C$6="",DATE(9999,1,1),$C$6))-COUNTIFS(Register!$J$5:$J$304,$B43,Register!$AI$5:$AI$304,"Closed",Register!$B$5:$B$304,"&gt;="&amp;IF($C$5="",DATE(1900,1,1),$C$5),Register!$B$5:$B$304,"&lt;="&amp;IF($C$6="",DATE(9999,1,1),$C$6))-COUNTIFS(Register!$J$5:$J$304,$B43,Register!$AI$5:$AI$304,"Rejected",Register!$B$5:$B$304,"&gt;="&amp;IF($C$5="",DATE(1900,1,1),$C$5),Register!$B$5:$B$304,"&lt;="&amp;IF($C$6="",DATE(9999,1,1),$C$6))</f>
        <v>1</v>
      </c>
      <c r="E43" s="57" t="n">
        <f aca="false">COUNTIFS(Register!$J$5:$J$304,$B43,Register!$AM$5:$AM$304,"OVERDUE",Register!$B$5:$B$304,"&gt;="&amp;IF($C$5="",DATE(1900,1,1),$C$5),Register!$B$5:$B$304,"&lt;="&amp;IF($C$6="",DATE(9999,1,1),$C$6))</f>
        <v>1</v>
      </c>
      <c r="F43" s="57" t="n">
        <f aca="false">COUNTIFS(Register!$J$5:$J$304,$B43,Register!$S$5:$S$304,"Yes",Register!$B$5:$B$304,"&gt;="&amp;IF($C$5="",DATE(1900,1,1),$C$5),Register!$B$5:$B$304,"&lt;="&amp;IF($C$6="",DATE(9999,1,1),$C$6))</f>
        <v>0</v>
      </c>
      <c r="G43" s="57" t="n">
        <f aca="false">SUMIFS(Register!$W$5:$W$304,Register!$J$5:$J$304,$B43,Register!$B$5:$B$304,"&gt;="&amp;IF($C$5="",DATE(1900,1,1),$C$5),Register!$B$5:$B$304,"&lt;="&amp;IF($C$6="",DATE(9999,1,1),$C$6))</f>
        <v>12</v>
      </c>
      <c r="H43" s="59" t="n">
        <f aca="false">SUMIFS(Register!$AB$5:$AB$304,Register!$J$5:$J$304,$B43,Register!$B$5:$B$304,"&gt;="&amp;IF($C$5="",DATE(1900,1,1),$C$5),Register!$B$5:$B$304,"&lt;="&amp;IF($C$6="",DATE(9999,1,1),$C$6))</f>
        <v>24</v>
      </c>
      <c r="I43" s="58" t="n">
        <f aca="false">IFERROR(AVERAGEIFS(Register!$AK$5:$AK$304,Register!$J$5:$J$304,$B43,Register!$B$5:$B$304,"&gt;="&amp;IF($C$5="",DATE(1900,1,1),$C$5),Register!$B$5:$B$304,"&lt;="&amp;IF($C$6="",DATE(9999,1,1),$C$6),Register!$AK$5:$AK$304,"&gt;=0"),0)</f>
        <v>0</v>
      </c>
    </row>
    <row r="44" customFormat="false" ht="15" hidden="false" customHeight="false" outlineLevel="0" collapsed="false">
      <c r="B44" s="56" t="str">
        <f aca="false">Lists!$E$10</f>
        <v>Delivery</v>
      </c>
      <c r="C44" s="57" t="n">
        <f aca="false">COUNTIFS(Register!$J$5:$J$304,$B44,Register!$B$5:$B$304,"&gt;="&amp;IF($C$5="",DATE(1900,1,1),$C$5),Register!$B$5:$B$304,"&lt;="&amp;IF($C$6="",DATE(9999,1,1),$C$6))</f>
        <v>3</v>
      </c>
      <c r="D44" s="57" t="n">
        <f aca="false">COUNTIFS(Register!$J$5:$J$304,$B44,Register!$B$5:$B$304,"&gt;="&amp;IF($C$5="",DATE(1900,1,1),$C$5),Register!$B$5:$B$304,"&lt;="&amp;IF($C$6="",DATE(9999,1,1),$C$6))-COUNTIFS(Register!$J$5:$J$304,$B44,Register!$AI$5:$AI$304,"Closed",Register!$B$5:$B$304,"&gt;="&amp;IF($C$5="",DATE(1900,1,1),$C$5),Register!$B$5:$B$304,"&lt;="&amp;IF($C$6="",DATE(9999,1,1),$C$6))-COUNTIFS(Register!$J$5:$J$304,$B44,Register!$AI$5:$AI$304,"Rejected",Register!$B$5:$B$304,"&gt;="&amp;IF($C$5="",DATE(1900,1,1),$C$5),Register!$B$5:$B$304,"&lt;="&amp;IF($C$6="",DATE(9999,1,1),$C$6))</f>
        <v>1</v>
      </c>
      <c r="E44" s="57" t="n">
        <f aca="false">COUNTIFS(Register!$J$5:$J$304,$B44,Register!$AM$5:$AM$304,"OVERDUE",Register!$B$5:$B$304,"&gt;="&amp;IF($C$5="",DATE(1900,1,1),$C$5),Register!$B$5:$B$304,"&lt;="&amp;IF($C$6="",DATE(9999,1,1),$C$6))</f>
        <v>1</v>
      </c>
      <c r="F44" s="57" t="n">
        <f aca="false">COUNTIFS(Register!$J$5:$J$304,$B44,Register!$S$5:$S$304,"Yes",Register!$B$5:$B$304,"&gt;="&amp;IF($C$5="",DATE(1900,1,1),$C$5),Register!$B$5:$B$304,"&lt;="&amp;IF($C$6="",DATE(9999,1,1),$C$6))</f>
        <v>3</v>
      </c>
      <c r="G44" s="57" t="n">
        <f aca="false">SUMIFS(Register!$W$5:$W$304,Register!$J$5:$J$304,$B44,Register!$B$5:$B$304,"&gt;="&amp;IF($C$5="",DATE(1900,1,1),$C$5),Register!$B$5:$B$304,"&lt;="&amp;IF($C$6="",DATE(9999,1,1),$C$6))</f>
        <v>195</v>
      </c>
      <c r="H44" s="59" t="n">
        <f aca="false">SUMIFS(Register!$AB$5:$AB$304,Register!$J$5:$J$304,$B44,Register!$B$5:$B$304,"&gt;="&amp;IF($C$5="",DATE(1900,1,1),$C$5),Register!$B$5:$B$304,"&lt;="&amp;IF($C$6="",DATE(9999,1,1),$C$6))</f>
        <v>50236</v>
      </c>
      <c r="I44" s="58" t="n">
        <f aca="false">IFERROR(AVERAGEIFS(Register!$AK$5:$AK$304,Register!$J$5:$J$304,$B44,Register!$B$5:$B$304,"&gt;="&amp;IF($C$5="",DATE(1900,1,1),$C$5),Register!$B$5:$B$304,"&lt;="&amp;IF($C$6="",DATE(9999,1,1),$C$6),Register!$AK$5:$AK$304,"&gt;=0"),0)</f>
        <v>7</v>
      </c>
    </row>
    <row r="45" customFormat="false" ht="15" hidden="false" customHeight="false" outlineLevel="0" collapsed="false">
      <c r="B45" s="56" t="str">
        <f aca="false">Lists!$E$11</f>
        <v>Usage</v>
      </c>
      <c r="C45" s="57" t="n">
        <f aca="false">COUNTIFS(Register!$J$5:$J$304,$B45,Register!$B$5:$B$304,"&gt;="&amp;IF($C$5="",DATE(1900,1,1),$C$5),Register!$B$5:$B$304,"&lt;="&amp;IF($C$6="",DATE(9999,1,1),$C$6))</f>
        <v>1</v>
      </c>
      <c r="D45" s="57" t="n">
        <f aca="false">COUNTIFS(Register!$J$5:$J$304,$B45,Register!$B$5:$B$304,"&gt;="&amp;IF($C$5="",DATE(1900,1,1),$C$5),Register!$B$5:$B$304,"&lt;="&amp;IF($C$6="",DATE(9999,1,1),$C$6))-COUNTIFS(Register!$J$5:$J$304,$B45,Register!$AI$5:$AI$304,"Closed",Register!$B$5:$B$304,"&gt;="&amp;IF($C$5="",DATE(1900,1,1),$C$5),Register!$B$5:$B$304,"&lt;="&amp;IF($C$6="",DATE(9999,1,1),$C$6))-COUNTIFS(Register!$J$5:$J$304,$B45,Register!$AI$5:$AI$304,"Rejected",Register!$B$5:$B$304,"&gt;="&amp;IF($C$5="",DATE(1900,1,1),$C$5),Register!$B$5:$B$304,"&lt;="&amp;IF($C$6="",DATE(9999,1,1),$C$6))</f>
        <v>1</v>
      </c>
      <c r="E45" s="57" t="n">
        <f aca="false">COUNTIFS(Register!$J$5:$J$304,$B45,Register!$AM$5:$AM$304,"OVERDUE",Register!$B$5:$B$304,"&gt;="&amp;IF($C$5="",DATE(1900,1,1),$C$5),Register!$B$5:$B$304,"&lt;="&amp;IF($C$6="",DATE(9999,1,1),$C$6))</f>
        <v>1</v>
      </c>
      <c r="F45" s="57" t="n">
        <f aca="false">COUNTIFS(Register!$J$5:$J$304,$B45,Register!$S$5:$S$304,"Yes",Register!$B$5:$B$304,"&gt;="&amp;IF($C$5="",DATE(1900,1,1),$C$5),Register!$B$5:$B$304,"&lt;="&amp;IF($C$6="",DATE(9999,1,1),$C$6))</f>
        <v>0</v>
      </c>
      <c r="G45" s="57" t="n">
        <f aca="false">SUMIFS(Register!$W$5:$W$304,Register!$J$5:$J$304,$B45,Register!$B$5:$B$304,"&gt;="&amp;IF($C$5="",DATE(1900,1,1),$C$5),Register!$B$5:$B$304,"&lt;="&amp;IF($C$6="",DATE(9999,1,1),$C$6))</f>
        <v>4</v>
      </c>
      <c r="H45" s="59" t="n">
        <f aca="false">SUMIFS(Register!$AB$5:$AB$304,Register!$J$5:$J$304,$B45,Register!$B$5:$B$304,"&gt;="&amp;IF($C$5="",DATE(1900,1,1),$C$5),Register!$B$5:$B$304,"&lt;="&amp;IF($C$6="",DATE(9999,1,1),$C$6))</f>
        <v>12</v>
      </c>
      <c r="I45" s="58" t="n">
        <f aca="false">IFERROR(AVERAGEIFS(Register!$AK$5:$AK$304,Register!$J$5:$J$304,$B45,Register!$B$5:$B$304,"&gt;="&amp;IF($C$5="",DATE(1900,1,1),$C$5),Register!$B$5:$B$304,"&lt;="&amp;IF($C$6="",DATE(9999,1,1),$C$6),Register!$AK$5:$AK$304,"&gt;=0"),0)</f>
        <v>0</v>
      </c>
    </row>
    <row r="46" customFormat="false" ht="15" hidden="false" customHeight="false" outlineLevel="0" collapsed="false">
      <c r="B46" s="56" t="str">
        <f aca="false">Lists!$E$12</f>
        <v>Customer service</v>
      </c>
      <c r="C46" s="57" t="n">
        <f aca="false">COUNTIFS(Register!$J$5:$J$304,$B46,Register!$B$5:$B$304,"&gt;="&amp;IF($C$5="",DATE(1900,1,1),$C$5),Register!$B$5:$B$304,"&lt;="&amp;IF($C$6="",DATE(9999,1,1),$C$6))</f>
        <v>2</v>
      </c>
      <c r="D46" s="57" t="n">
        <f aca="false">COUNTIFS(Register!$J$5:$J$304,$B46,Register!$B$5:$B$304,"&gt;="&amp;IF($C$5="",DATE(1900,1,1),$C$5),Register!$B$5:$B$304,"&lt;="&amp;IF($C$6="",DATE(9999,1,1),$C$6))-COUNTIFS(Register!$J$5:$J$304,$B46,Register!$AI$5:$AI$304,"Closed",Register!$B$5:$B$304,"&gt;="&amp;IF($C$5="",DATE(1900,1,1),$C$5),Register!$B$5:$B$304,"&lt;="&amp;IF($C$6="",DATE(9999,1,1),$C$6))-COUNTIFS(Register!$J$5:$J$304,$B46,Register!$AI$5:$AI$304,"Rejected",Register!$B$5:$B$304,"&gt;="&amp;IF($C$5="",DATE(1900,1,1),$C$5),Register!$B$5:$B$304,"&lt;="&amp;IF($C$6="",DATE(9999,1,1),$C$6))</f>
        <v>0</v>
      </c>
      <c r="E46" s="57" t="n">
        <f aca="false">COUNTIFS(Register!$J$5:$J$304,$B46,Register!$AM$5:$AM$304,"OVERDUE",Register!$B$5:$B$304,"&gt;="&amp;IF($C$5="",DATE(1900,1,1),$C$5),Register!$B$5:$B$304,"&lt;="&amp;IF($C$6="",DATE(9999,1,1),$C$6))</f>
        <v>0</v>
      </c>
      <c r="F46" s="57" t="n">
        <f aca="false">COUNTIFS(Register!$J$5:$J$304,$B46,Register!$S$5:$S$304,"Yes",Register!$B$5:$B$304,"&gt;="&amp;IF($C$5="",DATE(1900,1,1),$C$5),Register!$B$5:$B$304,"&lt;="&amp;IF($C$6="",DATE(9999,1,1),$C$6))</f>
        <v>0</v>
      </c>
      <c r="G46" s="57" t="n">
        <f aca="false">SUMIFS(Register!$W$5:$W$304,Register!$J$5:$J$304,$B46,Register!$B$5:$B$304,"&gt;="&amp;IF($C$5="",DATE(1900,1,1),$C$5),Register!$B$5:$B$304,"&lt;="&amp;IF($C$6="",DATE(9999,1,1),$C$6))</f>
        <v>28</v>
      </c>
      <c r="H46" s="59" t="n">
        <f aca="false">SUMIFS(Register!$AB$5:$AB$304,Register!$J$5:$J$304,$B46,Register!$B$5:$B$304,"&gt;="&amp;IF($C$5="",DATE(1900,1,1),$C$5),Register!$B$5:$B$304,"&lt;="&amp;IF($C$6="",DATE(9999,1,1),$C$6))</f>
        <v>2272</v>
      </c>
      <c r="I46" s="58" t="n">
        <f aca="false">IFERROR(AVERAGEIFS(Register!$AK$5:$AK$304,Register!$J$5:$J$304,$B46,Register!$B$5:$B$304,"&gt;="&amp;IF($C$5="",DATE(1900,1,1),$C$5),Register!$B$5:$B$304,"&lt;="&amp;IF($C$6="",DATE(9999,1,1),$C$6),Register!$AK$5:$AK$304,"&gt;=0"),0)</f>
        <v>3</v>
      </c>
    </row>
    <row r="47" customFormat="false" ht="15" hidden="false" customHeight="false" outlineLevel="0" collapsed="false">
      <c r="B47" s="56" t="str">
        <f aca="false">Lists!$E$13</f>
        <v>Billing</v>
      </c>
      <c r="C47" s="57" t="n">
        <f aca="false">COUNTIFS(Register!$J$5:$J$304,$B47,Register!$B$5:$B$304,"&gt;="&amp;IF($C$5="",DATE(1900,1,1),$C$5),Register!$B$5:$B$304,"&lt;="&amp;IF($C$6="",DATE(9999,1,1),$C$6))</f>
        <v>2</v>
      </c>
      <c r="D47" s="57" t="n">
        <f aca="false">COUNTIFS(Register!$J$5:$J$304,$B47,Register!$B$5:$B$304,"&gt;="&amp;IF($C$5="",DATE(1900,1,1),$C$5),Register!$B$5:$B$304,"&lt;="&amp;IF($C$6="",DATE(9999,1,1),$C$6))-COUNTIFS(Register!$J$5:$J$304,$B47,Register!$AI$5:$AI$304,"Closed",Register!$B$5:$B$304,"&gt;="&amp;IF($C$5="",DATE(1900,1,1),$C$5),Register!$B$5:$B$304,"&lt;="&amp;IF($C$6="",DATE(9999,1,1),$C$6))-COUNTIFS(Register!$J$5:$J$304,$B47,Register!$AI$5:$AI$304,"Rejected",Register!$B$5:$B$304,"&gt;="&amp;IF($C$5="",DATE(1900,1,1),$C$5),Register!$B$5:$B$304,"&lt;="&amp;IF($C$6="",DATE(9999,1,1),$C$6))</f>
        <v>1</v>
      </c>
      <c r="E47" s="57" t="n">
        <f aca="false">COUNTIFS(Register!$J$5:$J$304,$B47,Register!$AM$5:$AM$304,"OVERDUE",Register!$B$5:$B$304,"&gt;="&amp;IF($C$5="",DATE(1900,1,1),$C$5),Register!$B$5:$B$304,"&lt;="&amp;IF($C$6="",DATE(9999,1,1),$C$6))</f>
        <v>1</v>
      </c>
      <c r="F47" s="57" t="n">
        <f aca="false">COUNTIFS(Register!$J$5:$J$304,$B47,Register!$S$5:$S$304,"Yes",Register!$B$5:$B$304,"&gt;="&amp;IF($C$5="",DATE(1900,1,1),$C$5),Register!$B$5:$B$304,"&lt;="&amp;IF($C$6="",DATE(9999,1,1),$C$6))</f>
        <v>2</v>
      </c>
      <c r="G47" s="57" t="n">
        <f aca="false">SUMIFS(Register!$W$5:$W$304,Register!$J$5:$J$304,$B47,Register!$B$5:$B$304,"&gt;="&amp;IF($C$5="",DATE(1900,1,1),$C$5),Register!$B$5:$B$304,"&lt;="&amp;IF($C$6="",DATE(9999,1,1),$C$6))</f>
        <v>96</v>
      </c>
      <c r="H47" s="59" t="n">
        <f aca="false">SUMIFS(Register!$AB$5:$AB$304,Register!$J$5:$J$304,$B47,Register!$B$5:$B$304,"&gt;="&amp;IF($C$5="",DATE(1900,1,1),$C$5),Register!$B$5:$B$304,"&lt;="&amp;IF($C$6="",DATE(9999,1,1),$C$6))</f>
        <v>2966</v>
      </c>
      <c r="I47" s="58" t="n">
        <f aca="false">IFERROR(AVERAGEIFS(Register!$AK$5:$AK$304,Register!$J$5:$J$304,$B47,Register!$B$5:$B$304,"&gt;="&amp;IF($C$5="",DATE(1900,1,1),$C$5),Register!$B$5:$B$304,"&lt;="&amp;IF($C$6="",DATE(9999,1,1),$C$6),Register!$AK$5:$AK$304,"&gt;=0"),0)</f>
        <v>10</v>
      </c>
    </row>
    <row r="48" customFormat="false" ht="15" hidden="false" customHeight="false" outlineLevel="0" collapsed="false">
      <c r="B48" s="56" t="str">
        <f aca="false">Lists!$E$14</f>
        <v>Returns</v>
      </c>
      <c r="C48" s="57" t="n">
        <f aca="false">COUNTIFS(Register!$J$5:$J$304,$B48,Register!$B$5:$B$304,"&gt;="&amp;IF($C$5="",DATE(1900,1,1),$C$5),Register!$B$5:$B$304,"&lt;="&amp;IF($C$6="",DATE(9999,1,1),$C$6))</f>
        <v>0</v>
      </c>
      <c r="D48" s="57" t="n">
        <f aca="false">COUNTIFS(Register!$J$5:$J$304,$B48,Register!$B$5:$B$304,"&gt;="&amp;IF($C$5="",DATE(1900,1,1),$C$5),Register!$B$5:$B$304,"&lt;="&amp;IF($C$6="",DATE(9999,1,1),$C$6))-COUNTIFS(Register!$J$5:$J$304,$B48,Register!$AI$5:$AI$304,"Closed",Register!$B$5:$B$304,"&gt;="&amp;IF($C$5="",DATE(1900,1,1),$C$5),Register!$B$5:$B$304,"&lt;="&amp;IF($C$6="",DATE(9999,1,1),$C$6))-COUNTIFS(Register!$J$5:$J$304,$B48,Register!$AI$5:$AI$304,"Rejected",Register!$B$5:$B$304,"&gt;="&amp;IF($C$5="",DATE(1900,1,1),$C$5),Register!$B$5:$B$304,"&lt;="&amp;IF($C$6="",DATE(9999,1,1),$C$6))</f>
        <v>0</v>
      </c>
      <c r="E48" s="57" t="n">
        <f aca="false">COUNTIFS(Register!$J$5:$J$304,$B48,Register!$AM$5:$AM$304,"OVERDUE",Register!$B$5:$B$304,"&gt;="&amp;IF($C$5="",DATE(1900,1,1),$C$5),Register!$B$5:$B$304,"&lt;="&amp;IF($C$6="",DATE(9999,1,1),$C$6))</f>
        <v>0</v>
      </c>
      <c r="F48" s="57" t="n">
        <f aca="false">COUNTIFS(Register!$J$5:$J$304,$B48,Register!$S$5:$S$304,"Yes",Register!$B$5:$B$304,"&gt;="&amp;IF($C$5="",DATE(1900,1,1),$C$5),Register!$B$5:$B$304,"&lt;="&amp;IF($C$6="",DATE(9999,1,1),$C$6))</f>
        <v>0</v>
      </c>
      <c r="G48" s="57" t="n">
        <f aca="false">SUMIFS(Register!$W$5:$W$304,Register!$J$5:$J$304,$B48,Register!$B$5:$B$304,"&gt;="&amp;IF($C$5="",DATE(1900,1,1),$C$5),Register!$B$5:$B$304,"&lt;="&amp;IF($C$6="",DATE(9999,1,1),$C$6))</f>
        <v>0</v>
      </c>
      <c r="H48" s="59" t="n">
        <f aca="false">SUMIFS(Register!$AB$5:$AB$304,Register!$J$5:$J$304,$B48,Register!$B$5:$B$304,"&gt;="&amp;IF($C$5="",DATE(1900,1,1),$C$5),Register!$B$5:$B$304,"&lt;="&amp;IF($C$6="",DATE(9999,1,1),$C$6))</f>
        <v>0</v>
      </c>
      <c r="I48" s="58" t="n">
        <f aca="false">IFERROR(AVERAGEIFS(Register!$AK$5:$AK$304,Register!$J$5:$J$304,$B48,Register!$B$5:$B$304,"&gt;="&amp;IF($C$5="",DATE(1900,1,1),$C$5),Register!$B$5:$B$304,"&lt;="&amp;IF($C$6="",DATE(9999,1,1),$C$6),Register!$AK$5:$AK$304,"&gt;=0"),0)</f>
        <v>0</v>
      </c>
    </row>
    <row r="49" customFormat="false" ht="15" hidden="false" customHeight="false" outlineLevel="0" collapsed="false">
      <c r="B49" s="56" t="str">
        <f aca="false">Lists!$E$15</f>
        <v>Cancellation</v>
      </c>
      <c r="C49" s="57" t="n">
        <f aca="false">COUNTIFS(Register!$J$5:$J$304,$B49,Register!$B$5:$B$304,"&gt;="&amp;IF($C$5="",DATE(1900,1,1),$C$5),Register!$B$5:$B$304,"&lt;="&amp;IF($C$6="",DATE(9999,1,1),$C$6))</f>
        <v>0</v>
      </c>
      <c r="D49" s="57" t="n">
        <f aca="false">COUNTIFS(Register!$J$5:$J$304,$B49,Register!$B$5:$B$304,"&gt;="&amp;IF($C$5="",DATE(1900,1,1),$C$5),Register!$B$5:$B$304,"&lt;="&amp;IF($C$6="",DATE(9999,1,1),$C$6))-COUNTIFS(Register!$J$5:$J$304,$B49,Register!$AI$5:$AI$304,"Closed",Register!$B$5:$B$304,"&gt;="&amp;IF($C$5="",DATE(1900,1,1),$C$5),Register!$B$5:$B$304,"&lt;="&amp;IF($C$6="",DATE(9999,1,1),$C$6))-COUNTIFS(Register!$J$5:$J$304,$B49,Register!$AI$5:$AI$304,"Rejected",Register!$B$5:$B$304,"&gt;="&amp;IF($C$5="",DATE(1900,1,1),$C$5),Register!$B$5:$B$304,"&lt;="&amp;IF($C$6="",DATE(9999,1,1),$C$6))</f>
        <v>0</v>
      </c>
      <c r="E49" s="57" t="n">
        <f aca="false">COUNTIFS(Register!$J$5:$J$304,$B49,Register!$AM$5:$AM$304,"OVERDUE",Register!$B$5:$B$304,"&gt;="&amp;IF($C$5="",DATE(1900,1,1),$C$5),Register!$B$5:$B$304,"&lt;="&amp;IF($C$6="",DATE(9999,1,1),$C$6))</f>
        <v>0</v>
      </c>
      <c r="F49" s="57" t="n">
        <f aca="false">COUNTIFS(Register!$J$5:$J$304,$B49,Register!$S$5:$S$304,"Yes",Register!$B$5:$B$304,"&gt;="&amp;IF($C$5="",DATE(1900,1,1),$C$5),Register!$B$5:$B$304,"&lt;="&amp;IF($C$6="",DATE(9999,1,1),$C$6))</f>
        <v>0</v>
      </c>
      <c r="G49" s="57" t="n">
        <f aca="false">SUMIFS(Register!$W$5:$W$304,Register!$J$5:$J$304,$B49,Register!$B$5:$B$304,"&gt;="&amp;IF($C$5="",DATE(1900,1,1),$C$5),Register!$B$5:$B$304,"&lt;="&amp;IF($C$6="",DATE(9999,1,1),$C$6))</f>
        <v>0</v>
      </c>
      <c r="H49" s="59" t="n">
        <f aca="false">SUMIFS(Register!$AB$5:$AB$304,Register!$J$5:$J$304,$B49,Register!$B$5:$B$304,"&gt;="&amp;IF($C$5="",DATE(1900,1,1),$C$5),Register!$B$5:$B$304,"&lt;="&amp;IF($C$6="",DATE(9999,1,1),$C$6))</f>
        <v>0</v>
      </c>
      <c r="I49" s="58" t="n">
        <f aca="false">IFERROR(AVERAGEIFS(Register!$AK$5:$AK$304,Register!$J$5:$J$304,$B49,Register!$B$5:$B$304,"&gt;="&amp;IF($C$5="",DATE(1900,1,1),$C$5),Register!$B$5:$B$304,"&lt;="&amp;IF($C$6="",DATE(9999,1,1),$C$6),Register!$AK$5:$AK$304,"&gt;=0"),0)</f>
        <v>0</v>
      </c>
    </row>
    <row r="50" customFormat="false" ht="22.35" hidden="false" customHeight="false" outlineLevel="0" collapsed="false">
      <c r="B50" s="62" t="s">
        <v>368</v>
      </c>
      <c r="C50" s="63" t="n">
        <f aca="false">SUM(C39:C49)</f>
        <v>12</v>
      </c>
      <c r="D50" s="63" t="n">
        <f aca="false">SUM(D39:D49)</f>
        <v>5</v>
      </c>
      <c r="E50" s="63" t="n">
        <f aca="false">SUM(E39:E49)</f>
        <v>4</v>
      </c>
      <c r="F50" s="63" t="n">
        <f aca="false">SUM(F39:F49)</f>
        <v>6</v>
      </c>
      <c r="G50" s="63" t="n">
        <f aca="false">SUM(G39:G49)</f>
        <v>403</v>
      </c>
      <c r="H50" s="65" t="n">
        <f aca="false">SUM(H39:H49)</f>
        <v>55594</v>
      </c>
      <c r="I50" s="64" t="n">
        <f aca="false">SUM(I39:I49)</f>
        <v>29</v>
      </c>
      <c r="J50" s="67" t="str">
        <f aca="false">IF(SUM($G$39:$G$49)=0,"No data.","Riskiest stage: "&amp;INDEX($B$39:$B$49,MATCH(MAX($G$39:$G$49),$G$39:$G$49,0))&amp;" (total risk score "&amp;TEXT(MAX($G$39:$G$49),"#,##0")&amp;"). Slowest to clear: "&amp;INDEX($B$39:$B$49,MATCH(MAX($I$39:$I$49),$I$39:$I$49,0))&amp;" — avg. "&amp;TEXT(MAX($I$39:$I$49),"0.0")&amp;" d.")</f>
        <v>Riskiest stage: Delivery (total risk score 195). Slowest to clear: Billing — avg. 10.0 d.</v>
      </c>
    </row>
    <row r="52" customFormat="false" ht="19.5" hidden="false" customHeight="true" outlineLevel="0" collapsed="false">
      <c r="B52" s="48" t="s">
        <v>376</v>
      </c>
      <c r="C52" s="48"/>
      <c r="D52" s="48"/>
      <c r="E52" s="48"/>
      <c r="F52" s="48"/>
      <c r="G52" s="48"/>
      <c r="H52" s="48"/>
      <c r="I52" s="48"/>
      <c r="J52" s="48"/>
    </row>
    <row r="53" customFormat="false" ht="30" hidden="false" customHeight="true" outlineLevel="0" collapsed="false">
      <c r="B53" s="49" t="s">
        <v>347</v>
      </c>
      <c r="C53" s="49" t="s">
        <v>377</v>
      </c>
      <c r="D53" s="49" t="s">
        <v>378</v>
      </c>
      <c r="E53" s="49" t="s">
        <v>379</v>
      </c>
      <c r="F53" s="49" t="s">
        <v>380</v>
      </c>
      <c r="G53" s="49" t="s">
        <v>381</v>
      </c>
      <c r="H53" s="49" t="s">
        <v>382</v>
      </c>
      <c r="I53" s="49" t="s">
        <v>383</v>
      </c>
      <c r="J53" s="49" t="s">
        <v>354</v>
      </c>
    </row>
    <row r="54" customFormat="false" ht="33.75" hidden="false" customHeight="true" outlineLevel="0" collapsed="false">
      <c r="B54" s="50" t="s">
        <v>355</v>
      </c>
      <c r="C54" s="51" t="n">
        <f aca="false">COUNTIFS(Register!$AE$5:$AE$304,"YES – required",Register!$B$5:$B$304,"&gt;="&amp;IF($C$5="",DATE(1900,1,1),$C$5),Register!$B$5:$B$304,"&lt;="&amp;IF($C$6="",DATE(9999,1,1),$C$6))</f>
        <v>7</v>
      </c>
      <c r="D54" s="51" t="n">
        <f aca="false">COUNTIFS(Register!$AE$5:$AE$304,"YES – required",Register!$AF$5:$AF$304,"?*",Register!$B$5:$B$304,"&gt;="&amp;IF($C$5="",DATE(1900,1,1),$C$5),Register!$B$5:$B$304,"&lt;="&amp;IF($C$6="",DATE(9999,1,1),$C$6))</f>
        <v>7</v>
      </c>
      <c r="E54" s="51" t="n">
        <f aca="false">C54-D54</f>
        <v>0</v>
      </c>
      <c r="F54" s="51" t="n">
        <f aca="true">COUNTIFS(CAPA!$L$5:$L$104,"&lt;"&amp;TODAY(),CAPA!$N$5:$N$104,"")</f>
        <v>1</v>
      </c>
      <c r="G54" s="51" t="n">
        <f aca="false">COUNTIF(CAPA!$R$5:$R$104,"VERIFIED*")</f>
        <v>0</v>
      </c>
      <c r="H54" s="51" t="n">
        <f aca="false">COUNTIF(CAPA!$R$5:$R$104,"INEFFECTIVE*")</f>
        <v>0</v>
      </c>
      <c r="I54" s="54" t="n">
        <f aca="false">SUM(CAPA!$S$5:$S$104)</f>
        <v>53262</v>
      </c>
      <c r="J54" s="53" t="str">
        <f aca="false">IF(E54&gt;0,TEXT(E54,"0")&amp;" cases require a process correction, but no CAPA is open. This is the single biggest driver of repeat complaints.",IF(H54&gt;0,TEXT(H54,"0")&amp;" corrective actions are ineffective — the cause recurs after rollout. Repeat the analysis.","CAPA discipline is sound."))</f>
        <v>CAPA discipline is sound.</v>
      </c>
    </row>
    <row r="56" customFormat="false" ht="19.5" hidden="false" customHeight="true" outlineLevel="0" collapsed="false">
      <c r="B56" s="48" t="s">
        <v>384</v>
      </c>
      <c r="C56" s="48"/>
      <c r="D56" s="48"/>
      <c r="E56" s="48"/>
      <c r="F56" s="48"/>
      <c r="G56" s="48"/>
      <c r="H56" s="48"/>
      <c r="I56" s="48"/>
      <c r="J56" s="48"/>
    </row>
    <row r="57" customFormat="false" ht="15" hidden="false" customHeight="false" outlineLevel="0" collapsed="false">
      <c r="B57" s="69" t="str">
        <f aca="false">IF(Pareto!$C$6=0,"No data. Fill in the register.","Most frequent cause: "&amp;Pareto!$B$6&amp;" — "&amp;TEXT(Pareto!$C$6,"0")&amp;" cases, "&amp;TEXT(Pareto!$D$6,"#,##0 €")&amp;" of damage ("&amp;TEXT(Pareto!$E$6,"0%")&amp;" of total cost). Removing the top 3 causes would eliminate "&amp;TEXT(Pareto!$F$8,"0%")&amp;" of all cases and "&amp;TEXT(SUM(Pareto!$D$6:$D$8),"#,##0 €")&amp;" of damage. That is your fastest win.")</f>
        <v>Most frequent cause: Logistics partner SLA breach — 3 cases, 50,236 € of damage (90% of total cost). Removing the top 3 causes would eliminate 55% of all cases and 53,214 € of damage. That is your fastest win.</v>
      </c>
      <c r="C57" s="69"/>
      <c r="D57" s="69"/>
      <c r="E57" s="69"/>
      <c r="F57" s="69"/>
      <c r="G57" s="69"/>
      <c r="H57" s="69"/>
      <c r="I57" s="69"/>
      <c r="J57" s="69"/>
    </row>
    <row r="58" customFormat="false" ht="15" hidden="false" customHeight="false" outlineLevel="0" collapsed="false">
      <c r="B58" s="69"/>
      <c r="C58" s="69"/>
      <c r="D58" s="69"/>
      <c r="E58" s="69"/>
      <c r="F58" s="69"/>
      <c r="G58" s="69"/>
      <c r="H58" s="69"/>
      <c r="I58" s="69"/>
      <c r="J58" s="69"/>
    </row>
    <row r="59" customFormat="false" ht="15" hidden="false" customHeight="false" outlineLevel="0" collapsed="false">
      <c r="B59" s="69"/>
      <c r="C59" s="69"/>
      <c r="D59" s="69"/>
      <c r="E59" s="69"/>
      <c r="F59" s="69"/>
      <c r="G59" s="69"/>
      <c r="H59" s="69"/>
      <c r="I59" s="69"/>
      <c r="J59" s="69"/>
    </row>
  </sheetData>
  <sheetProtection sheet="true" formatColumns="false" formatRows="false" sort="false" autoFilter="false"/>
  <mergeCells count="14">
    <mergeCell ref="B1:J1"/>
    <mergeCell ref="B2:J2"/>
    <mergeCell ref="B4:J4"/>
    <mergeCell ref="D5:F5"/>
    <mergeCell ref="D6:F6"/>
    <mergeCell ref="B8:J8"/>
    <mergeCell ref="B14:J14"/>
    <mergeCell ref="J16:J18"/>
    <mergeCell ref="B26:J26"/>
    <mergeCell ref="J28:J31"/>
    <mergeCell ref="B37:J37"/>
    <mergeCell ref="B52:J52"/>
    <mergeCell ref="B56:J56"/>
    <mergeCell ref="B57:J59"/>
  </mergeCells>
  <conditionalFormatting sqref="D12">
    <cfRule type="cellIs" priority="2" operator="greaterThan" aboveAverage="0" equalAverage="0" bottom="0" percent="0" rank="0" text="" dxfId="23">
      <formula>Settings!$C$25</formula>
    </cfRule>
  </conditionalFormatting>
  <conditionalFormatting sqref="G10">
    <cfRule type="cellIs" priority="3" operator="greaterThan" aboveAverage="0" equalAverage="0" bottom="0" percent="0" rank="0" text="" dxfId="23">
      <formula>0</formula>
    </cfRule>
  </conditionalFormatting>
  <conditionalFormatting sqref="I12">
    <cfRule type="cellIs" priority="4" operator="greaterThan" aboveAverage="0" equalAverage="0" bottom="0" percent="0" rank="0" text="" dxfId="24">
      <formula>0.9</formula>
    </cfRule>
    <cfRule type="cellIs" priority="5" operator="lessThan" aboveAverage="0" equalAverage="0" bottom="0" percent="0" rank="0" text="" dxfId="24">
      <formula>0.3</formula>
    </cfRule>
  </conditionalFormatting>
  <conditionalFormatting sqref="H10">
    <cfRule type="cellIs" priority="6" operator="lessThan" aboveAverage="0" equalAverage="0" bottom="0" percent="0" rank="0" text="" dxfId="23">
      <formula>Settings!$C$24</formula>
    </cfRule>
  </conditionalFormatting>
  <conditionalFormatting sqref="I10">
    <cfRule type="cellIs" priority="7" operator="lessThan" aboveAverage="0" equalAverage="0" bottom="0" percent="0" rank="0" text="" dxfId="23">
      <formula>Settings!$C$26</formula>
    </cfRule>
  </conditionalFormatting>
  <conditionalFormatting sqref="E54">
    <cfRule type="cellIs" priority="8" operator="greaterThan" aboveAverage="0" equalAverage="0" bottom="0" percent="0" rank="0" text="" dxfId="23">
      <formula>0</formula>
    </cfRule>
  </conditionalFormatting>
  <conditionalFormatting sqref="F54">
    <cfRule type="cellIs" priority="9" operator="greaterThan" aboveAverage="0" equalAverage="0" bottom="0" percent="0" rank="0" text="" dxfId="23">
      <formula>0</formula>
    </cfRule>
  </conditionalFormatting>
  <conditionalFormatting sqref="H54">
    <cfRule type="cellIs" priority="10" operator="greaterThan" aboveAverage="0" equalAverage="0" bottom="0" percent="0" rank="0" text="" dxfId="23">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K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6"/>
    <col collapsed="false" customWidth="true" hidden="false" outlineLevel="0" max="3" min="3" style="0" width="11"/>
    <col collapsed="false" customWidth="true" hidden="false" outlineLevel="0" max="4" min="4" style="0" width="14"/>
    <col collapsed="false" customWidth="true" hidden="false" outlineLevel="0" max="5" min="5" style="0" width="11"/>
    <col collapsed="false" customWidth="true" hidden="false" outlineLevel="0" max="6" min="6" style="0" width="13"/>
    <col collapsed="false" customWidth="true" hidden="false" outlineLevel="0" max="7" min="7" style="0" width="11"/>
    <col collapsed="false" customWidth="true" hidden="false" outlineLevel="0" max="8" min="8" style="0" width="22"/>
    <col collapsed="false" customWidth="true" hidden="false" outlineLevel="0" max="10" min="9" style="0" width="13"/>
    <col collapsed="false" customWidth="true" hidden="false" outlineLevel="0" max="11" min="11" style="0" width="34"/>
  </cols>
  <sheetData>
    <row r="1" customFormat="false" ht="30" hidden="false" customHeight="true" outlineLevel="0" collapsed="false">
      <c r="B1" s="43" t="s">
        <v>385</v>
      </c>
      <c r="C1" s="43"/>
      <c r="D1" s="43"/>
      <c r="E1" s="43"/>
      <c r="F1" s="43"/>
      <c r="G1" s="43"/>
      <c r="H1" s="43"/>
      <c r="I1" s="43"/>
      <c r="J1" s="43"/>
      <c r="K1" s="43"/>
    </row>
    <row r="2" customFormat="false" ht="15" hidden="false" customHeight="false" outlineLevel="0" collapsed="false">
      <c r="B2" s="44" t="s">
        <v>386</v>
      </c>
      <c r="C2" s="44"/>
      <c r="D2" s="44"/>
      <c r="E2" s="44"/>
      <c r="F2" s="44"/>
      <c r="G2" s="44"/>
      <c r="H2" s="44"/>
      <c r="I2" s="44"/>
      <c r="J2" s="44"/>
      <c r="K2" s="44"/>
    </row>
    <row r="4" customFormat="false" ht="15" hidden="false" customHeight="false" outlineLevel="0" collapsed="false">
      <c r="B4" s="70" t="s">
        <v>387</v>
      </c>
      <c r="C4" s="70"/>
      <c r="D4" s="70"/>
      <c r="E4" s="70"/>
      <c r="F4" s="70"/>
      <c r="H4" s="71" t="s">
        <v>388</v>
      </c>
      <c r="I4" s="71"/>
      <c r="J4" s="71"/>
    </row>
    <row r="5" customFormat="false" ht="30" hidden="false" customHeight="true" outlineLevel="0" collapsed="false">
      <c r="B5" s="49" t="s">
        <v>74</v>
      </c>
      <c r="C5" s="49" t="s">
        <v>362</v>
      </c>
      <c r="D5" s="49" t="s">
        <v>389</v>
      </c>
      <c r="E5" s="49" t="s">
        <v>390</v>
      </c>
      <c r="F5" s="49" t="s">
        <v>391</v>
      </c>
      <c r="H5" s="49" t="s">
        <v>74</v>
      </c>
      <c r="I5" s="49" t="s">
        <v>362</v>
      </c>
      <c r="J5" s="49" t="s">
        <v>392</v>
      </c>
      <c r="K5" s="72" t="s">
        <v>393</v>
      </c>
    </row>
    <row r="6" customFormat="false" ht="15" hidden="false" customHeight="false" outlineLevel="0" collapsed="false">
      <c r="B6" s="73" t="str">
        <f aca="false">INDEX($H$6:$H$17,MATCH(LARGE($G$6:$G$17,ROW()-5),$G$6:$G$17,0))</f>
        <v>Logistics partner SLA breach</v>
      </c>
      <c r="C6" s="74" t="n">
        <f aca="false">INDEX($I$6:$I$17,MATCH(LARGE($G$6:$G$17,ROW()-5),$G$6:$G$17,0))</f>
        <v>3</v>
      </c>
      <c r="D6" s="59" t="n">
        <f aca="false">INDEX($J$6:$J$17,MATCH(LARGE($G$6:$G$17,ROW()-5),$G$6:$G$17,0))</f>
        <v>50236</v>
      </c>
      <c r="E6" s="60" t="n">
        <f aca="false">IFERROR($D6/SUM($D$6:$D$17),0)</f>
        <v>0.903817782735418</v>
      </c>
      <c r="F6" s="60" t="n">
        <f aca="false">IFERROR(SUM($C$6:$C6)/SUM($C$6:$C$17),0)</f>
        <v>0.272727272727273</v>
      </c>
      <c r="G6" s="75" t="n">
        <f aca="false">$I6+ROW()/100000</f>
        <v>3.00006</v>
      </c>
      <c r="H6" s="76" t="str">
        <f aca="false">Lists!$H$5</f>
        <v>Logistics partner SLA breach</v>
      </c>
      <c r="I6" s="77" t="n">
        <f aca="false">COUNTIF(Register!$Q$5:$Q$304,$H6)</f>
        <v>3</v>
      </c>
      <c r="J6" s="78" t="n">
        <f aca="false">SUMIF(Register!$Q$5:$Q$304,$H6,Register!$AB$5:$AB$304)</f>
        <v>50236</v>
      </c>
      <c r="K6" s="79" t="str">
        <f aca="false">IF($C$18=0,"No data.","The gold zone = the causes behind 80 % of all cases. There are "&amp;COUNTIF($F$6:$F$17,"&lt;0.8")+1&amp;" of "&amp;COUNTIF($C$6:$C$17,"&gt;0")&amp;" recorded. Invest in these only — the rest is noise. Every cause in the gold zone must have an open CAPA record.")</f>
        <v>The gold zone = the causes behind 80 % of all cases. There are 6 of 8 recorded. Invest in these only — the rest is noise. Every cause in the gold zone must have an open CAPA record.</v>
      </c>
    </row>
    <row r="7" customFormat="false" ht="15" hidden="false" customHeight="false" outlineLevel="0" collapsed="false">
      <c r="B7" s="73" t="str">
        <f aca="false">INDEX($H$6:$H$17,MATCH(LARGE($G$6:$G$17,ROW()-5),$G$6:$G$17,0))</f>
        <v>Manual data entry</v>
      </c>
      <c r="C7" s="74" t="n">
        <f aca="false">INDEX($I$6:$I$17,MATCH(LARGE($G$6:$G$17,ROW()-5),$G$6:$G$17,0))</f>
        <v>2</v>
      </c>
      <c r="D7" s="59" t="n">
        <f aca="false">INDEX($J$6:$J$17,MATCH(LARGE($G$6:$G$17,ROW()-5),$G$6:$G$17,0))</f>
        <v>2966</v>
      </c>
      <c r="E7" s="60" t="n">
        <f aca="false">IFERROR($D7/SUM($D$6:$D$17),0)</f>
        <v>0.0533625994026843</v>
      </c>
      <c r="F7" s="60" t="n">
        <f aca="false">IFERROR(SUM($C$6:$C7)/SUM($C$6:$C$17),0)</f>
        <v>0.454545454545455</v>
      </c>
      <c r="G7" s="75" t="n">
        <f aca="false">$I7+ROW()/100000</f>
        <v>1.00007</v>
      </c>
      <c r="H7" s="76" t="str">
        <f aca="false">Lists!$H$6</f>
        <v>IT integration failure</v>
      </c>
      <c r="I7" s="77" t="n">
        <f aca="false">COUNTIF(Register!$Q$5:$Q$304,$H7)</f>
        <v>1</v>
      </c>
      <c r="J7" s="78" t="n">
        <f aca="false">SUMIF(Register!$Q$5:$Q$304,$H7,Register!$AB$5:$AB$304)</f>
        <v>36</v>
      </c>
      <c r="K7" s="79"/>
    </row>
    <row r="8" customFormat="false" ht="15" hidden="false" customHeight="false" outlineLevel="0" collapsed="false">
      <c r="B8" s="73" t="str">
        <f aca="false">INDEX($H$6:$H$17,MATCH(LARGE($G$6:$G$17,ROW()-5),$G$6:$G$17,0))</f>
        <v>Policy / rule constraint</v>
      </c>
      <c r="C8" s="74" t="n">
        <f aca="false">INDEX($I$6:$I$17,MATCH(LARGE($G$6:$G$17,ROW()-5),$G$6:$G$17,0))</f>
        <v>1</v>
      </c>
      <c r="D8" s="59" t="n">
        <f aca="false">INDEX($J$6:$J$17,MATCH(LARGE($G$6:$G$17,ROW()-5),$G$6:$G$17,0))</f>
        <v>12</v>
      </c>
      <c r="E8" s="60" t="n">
        <f aca="false">IFERROR($D8/SUM($D$6:$D$17),0)</f>
        <v>0.000215897232917131</v>
      </c>
      <c r="F8" s="60" t="n">
        <f aca="false">IFERROR(SUM($C$6:$C8)/SUM($C$6:$C$17),0)</f>
        <v>0.545454545454545</v>
      </c>
      <c r="G8" s="75" t="n">
        <f aca="false">$I8+ROW()/100000</f>
        <v>1.00008</v>
      </c>
      <c r="H8" s="76" t="str">
        <f aca="false">Lists!$H$7</f>
        <v>Insufficient employee training</v>
      </c>
      <c r="I8" s="77" t="n">
        <f aca="false">COUNTIF(Register!$Q$5:$Q$304,$H8)</f>
        <v>1</v>
      </c>
      <c r="J8" s="78" t="n">
        <f aca="false">SUMIF(Register!$Q$5:$Q$304,$H8,Register!$AB$5:$AB$304)</f>
        <v>2260</v>
      </c>
      <c r="K8" s="79"/>
    </row>
    <row r="9" customFormat="false" ht="15" hidden="false" customHeight="false" outlineLevel="0" collapsed="false">
      <c r="B9" s="73" t="str">
        <f aca="false">INDEX($H$6:$H$17,MATCH(LARGE($G$6:$G$17,ROW()-5),$G$6:$G$17,0))</f>
        <v>Ambiguous contract terms</v>
      </c>
      <c r="C9" s="74" t="n">
        <f aca="false">INDEX($I$6:$I$17,MATCH(LARGE($G$6:$G$17,ROW()-5),$G$6:$G$17,0))</f>
        <v>1</v>
      </c>
      <c r="D9" s="59" t="n">
        <f aca="false">INDEX($J$6:$J$17,MATCH(LARGE($G$6:$G$17,ROW()-5),$G$6:$G$17,0))</f>
        <v>24</v>
      </c>
      <c r="E9" s="60" t="n">
        <f aca="false">IFERROR($D9/SUM($D$6:$D$17),0)</f>
        <v>0.000431794465834263</v>
      </c>
      <c r="F9" s="60" t="n">
        <f aca="false">IFERROR(SUM($C$6:$C9)/SUM($C$6:$C$17),0)</f>
        <v>0.636363636363636</v>
      </c>
      <c r="G9" s="75" t="n">
        <f aca="false">$I9+ROW()/100000</f>
        <v>9E-005</v>
      </c>
      <c r="H9" s="76" t="str">
        <f aca="false">Lists!$H$8</f>
        <v>Unclear process instruction</v>
      </c>
      <c r="I9" s="77" t="n">
        <f aca="false">COUNTIF(Register!$Q$5:$Q$304,$H9)</f>
        <v>0</v>
      </c>
      <c r="J9" s="78" t="n">
        <f aca="false">SUMIF(Register!$Q$5:$Q$304,$H9,Register!$AB$5:$AB$304)</f>
        <v>0</v>
      </c>
      <c r="K9" s="79"/>
    </row>
    <row r="10" customFormat="false" ht="15" hidden="false" customHeight="false" outlineLevel="0" collapsed="false">
      <c r="B10" s="73" t="str">
        <f aca="false">INDEX($H$6:$H$17,MATCH(LARGE($G$6:$G$17,ROW()-5),$G$6:$G$17,0))</f>
        <v>Unclear customer communication</v>
      </c>
      <c r="C10" s="74" t="n">
        <f aca="false">INDEX($I$6:$I$17,MATCH(LARGE($G$6:$G$17,ROW()-5),$G$6:$G$17,0))</f>
        <v>1</v>
      </c>
      <c r="D10" s="59" t="n">
        <f aca="false">INDEX($J$6:$J$17,MATCH(LARGE($G$6:$G$17,ROW()-5),$G$6:$G$17,0))</f>
        <v>24</v>
      </c>
      <c r="E10" s="60" t="n">
        <f aca="false">IFERROR($D10/SUM($D$6:$D$17),0)</f>
        <v>0.000431794465834263</v>
      </c>
      <c r="F10" s="60" t="n">
        <f aca="false">IFERROR(SUM($C$6:$C10)/SUM($C$6:$C$17),0)</f>
        <v>0.727272727272727</v>
      </c>
      <c r="G10" s="75" t="n">
        <f aca="false">$I10+ROW()/100000</f>
        <v>2.0001</v>
      </c>
      <c r="H10" s="76" t="str">
        <f aca="false">Lists!$H$9</f>
        <v>Manual data entry</v>
      </c>
      <c r="I10" s="77" t="n">
        <f aca="false">COUNTIF(Register!$Q$5:$Q$304,$H10)</f>
        <v>2</v>
      </c>
      <c r="J10" s="78" t="n">
        <f aca="false">SUMIF(Register!$Q$5:$Q$304,$H10,Register!$AB$5:$AB$304)</f>
        <v>2966</v>
      </c>
      <c r="K10" s="79"/>
    </row>
    <row r="11" customFormat="false" ht="15" hidden="false" customHeight="false" outlineLevel="0" collapsed="false">
      <c r="B11" s="73" t="str">
        <f aca="false">INDEX($H$6:$H$17,MATCH(LARGE($G$6:$G$17,ROW()-5),$G$6:$G$17,0))</f>
        <v>System incompatibility</v>
      </c>
      <c r="C11" s="74" t="n">
        <f aca="false">INDEX($I$6:$I$17,MATCH(LARGE($G$6:$G$17,ROW()-5),$G$6:$G$17,0))</f>
        <v>1</v>
      </c>
      <c r="D11" s="59" t="n">
        <f aca="false">INDEX($J$6:$J$17,MATCH(LARGE($G$6:$G$17,ROW()-5),$G$6:$G$17,0))</f>
        <v>24</v>
      </c>
      <c r="E11" s="60" t="n">
        <f aca="false">IFERROR($D11/SUM($D$6:$D$17),0)</f>
        <v>0.000431794465834263</v>
      </c>
      <c r="F11" s="60" t="n">
        <f aca="false">IFERROR(SUM($C$6:$C11)/SUM($C$6:$C$17),0)</f>
        <v>0.818181818181818</v>
      </c>
      <c r="G11" s="75" t="n">
        <f aca="false">$I11+ROW()/100000</f>
        <v>1.00011</v>
      </c>
      <c r="H11" s="76" t="str">
        <f aca="false">Lists!$H$10</f>
        <v>System incompatibility</v>
      </c>
      <c r="I11" s="77" t="n">
        <f aca="false">COUNTIF(Register!$Q$5:$Q$304,$H11)</f>
        <v>1</v>
      </c>
      <c r="J11" s="78" t="n">
        <f aca="false">SUMIF(Register!$Q$5:$Q$304,$H11,Register!$AB$5:$AB$304)</f>
        <v>24</v>
      </c>
      <c r="K11" s="79"/>
    </row>
    <row r="12" customFormat="false" ht="15" hidden="false" customHeight="false" outlineLevel="0" collapsed="false">
      <c r="B12" s="73" t="str">
        <f aca="false">INDEX($H$6:$H$17,MATCH(LARGE($G$6:$G$17,ROW()-5),$G$6:$G$17,0))</f>
        <v>Insufficient employee training</v>
      </c>
      <c r="C12" s="74" t="n">
        <f aca="false">INDEX($I$6:$I$17,MATCH(LARGE($G$6:$G$17,ROW()-5),$G$6:$G$17,0))</f>
        <v>1</v>
      </c>
      <c r="D12" s="59" t="n">
        <f aca="false">INDEX($J$6:$J$17,MATCH(LARGE($G$6:$G$17,ROW()-5),$G$6:$G$17,0))</f>
        <v>2260</v>
      </c>
      <c r="E12" s="60" t="n">
        <f aca="false">IFERROR($D12/SUM($D$6:$D$17),0)</f>
        <v>0.0406606455327264</v>
      </c>
      <c r="F12" s="60" t="n">
        <f aca="false">IFERROR(SUM($C$6:$C12)/SUM($C$6:$C$17),0)</f>
        <v>0.909090909090909</v>
      </c>
      <c r="G12" s="75" t="n">
        <f aca="false">$I12+ROW()/100000</f>
        <v>1.00012</v>
      </c>
      <c r="H12" s="76" t="str">
        <f aca="false">Lists!$H$11</f>
        <v>Unclear customer communication</v>
      </c>
      <c r="I12" s="77" t="n">
        <f aca="false">COUNTIF(Register!$Q$5:$Q$304,$H12)</f>
        <v>1</v>
      </c>
      <c r="J12" s="78" t="n">
        <f aca="false">SUMIF(Register!$Q$5:$Q$304,$H12,Register!$AB$5:$AB$304)</f>
        <v>24</v>
      </c>
    </row>
    <row r="13" customFormat="false" ht="15" hidden="false" customHeight="false" outlineLevel="0" collapsed="false">
      <c r="B13" s="73" t="str">
        <f aca="false">INDEX($H$6:$H$17,MATCH(LARGE($G$6:$G$17,ROW()-5),$G$6:$G$17,0))</f>
        <v>IT integration failure</v>
      </c>
      <c r="C13" s="74" t="n">
        <f aca="false">INDEX($I$6:$I$17,MATCH(LARGE($G$6:$G$17,ROW()-5),$G$6:$G$17,0))</f>
        <v>1</v>
      </c>
      <c r="D13" s="59" t="n">
        <f aca="false">INDEX($J$6:$J$17,MATCH(LARGE($G$6:$G$17,ROW()-5),$G$6:$G$17,0))</f>
        <v>36</v>
      </c>
      <c r="E13" s="60" t="n">
        <f aca="false">IFERROR($D13/SUM($D$6:$D$17),0)</f>
        <v>0.000647691698751394</v>
      </c>
      <c r="F13" s="60" t="n">
        <f aca="false">IFERROR(SUM($C$6:$C13)/SUM($C$6:$C$17),0)</f>
        <v>1</v>
      </c>
      <c r="G13" s="75" t="n">
        <f aca="false">$I13+ROW()/100000</f>
        <v>1.00013</v>
      </c>
      <c r="H13" s="76" t="str">
        <f aca="false">Lists!$H$12</f>
        <v>Ambiguous contract terms</v>
      </c>
      <c r="I13" s="77" t="n">
        <f aca="false">COUNTIF(Register!$Q$5:$Q$304,$H13)</f>
        <v>1</v>
      </c>
      <c r="J13" s="78" t="n">
        <f aca="false">SUMIF(Register!$Q$5:$Q$304,$H13,Register!$AB$5:$AB$304)</f>
        <v>24</v>
      </c>
    </row>
    <row r="14" customFormat="false" ht="15" hidden="false" customHeight="false" outlineLevel="0" collapsed="false">
      <c r="B14" s="73" t="str">
        <f aca="false">INDEX($H$6:$H$17,MATCH(LARGE($G$6:$G$17,ROW()-5),$G$6:$G$17,0))</f>
        <v>Customer expectation mismatch</v>
      </c>
      <c r="C14" s="74" t="n">
        <f aca="false">INDEX($I$6:$I$17,MATCH(LARGE($G$6:$G$17,ROW()-5),$G$6:$G$17,0))</f>
        <v>0</v>
      </c>
      <c r="D14" s="59" t="n">
        <f aca="false">INDEX($J$6:$J$17,MATCH(LARGE($G$6:$G$17,ROW()-5),$G$6:$G$17,0))</f>
        <v>0</v>
      </c>
      <c r="E14" s="60" t="n">
        <f aca="false">IFERROR($D14/SUM($D$6:$D$17),0)</f>
        <v>0</v>
      </c>
      <c r="F14" s="60" t="n">
        <f aca="false">IFERROR(SUM($C$6:$C14)/SUM($C$6:$C$17),0)</f>
        <v>1</v>
      </c>
      <c r="G14" s="75" t="n">
        <f aca="false">$I14+ROW()/100000</f>
        <v>0.00014</v>
      </c>
      <c r="H14" s="76" t="str">
        <f aca="false">Lists!$H$13</f>
        <v>Supplier error</v>
      </c>
      <c r="I14" s="77" t="n">
        <f aca="false">COUNTIF(Register!$Q$5:$Q$304,$H14)</f>
        <v>0</v>
      </c>
      <c r="J14" s="78" t="n">
        <f aca="false">SUMIF(Register!$Q$5:$Q$304,$H14,Register!$AB$5:$AB$304)</f>
        <v>0</v>
      </c>
    </row>
    <row r="15" customFormat="false" ht="15" hidden="false" customHeight="false" outlineLevel="0" collapsed="false">
      <c r="B15" s="73" t="str">
        <f aca="false">INDEX($H$6:$H$17,MATCH(LARGE($G$6:$G$17,ROW()-5),$G$6:$G$17,0))</f>
        <v>Capacity shortage</v>
      </c>
      <c r="C15" s="74" t="n">
        <f aca="false">INDEX($I$6:$I$17,MATCH(LARGE($G$6:$G$17,ROW()-5),$G$6:$G$17,0))</f>
        <v>0</v>
      </c>
      <c r="D15" s="59" t="n">
        <f aca="false">INDEX($J$6:$J$17,MATCH(LARGE($G$6:$G$17,ROW()-5),$G$6:$G$17,0))</f>
        <v>0</v>
      </c>
      <c r="E15" s="60" t="n">
        <f aca="false">IFERROR($D15/SUM($D$6:$D$17),0)</f>
        <v>0</v>
      </c>
      <c r="F15" s="60" t="n">
        <f aca="false">IFERROR(SUM($C$6:$C15)/SUM($C$6:$C$17),0)</f>
        <v>1</v>
      </c>
      <c r="G15" s="75" t="n">
        <f aca="false">$I15+ROW()/100000</f>
        <v>0.00015</v>
      </c>
      <c r="H15" s="76" t="str">
        <f aca="false">Lists!$H$14</f>
        <v>Capacity shortage</v>
      </c>
      <c r="I15" s="77" t="n">
        <f aca="false">COUNTIF(Register!$Q$5:$Q$304,$H15)</f>
        <v>0</v>
      </c>
      <c r="J15" s="78" t="n">
        <f aca="false">SUMIF(Register!$Q$5:$Q$304,$H15,Register!$AB$5:$AB$304)</f>
        <v>0</v>
      </c>
    </row>
    <row r="16" customFormat="false" ht="15" hidden="false" customHeight="false" outlineLevel="0" collapsed="false">
      <c r="B16" s="73" t="str">
        <f aca="false">INDEX($H$6:$H$17,MATCH(LARGE($G$6:$G$17,ROW()-5),$G$6:$G$17,0))</f>
        <v>Supplier error</v>
      </c>
      <c r="C16" s="74" t="n">
        <f aca="false">INDEX($I$6:$I$17,MATCH(LARGE($G$6:$G$17,ROW()-5),$G$6:$G$17,0))</f>
        <v>0</v>
      </c>
      <c r="D16" s="59" t="n">
        <f aca="false">INDEX($J$6:$J$17,MATCH(LARGE($G$6:$G$17,ROW()-5),$G$6:$G$17,0))</f>
        <v>0</v>
      </c>
      <c r="E16" s="60" t="n">
        <f aca="false">IFERROR($D16/SUM($D$6:$D$17),0)</f>
        <v>0</v>
      </c>
      <c r="F16" s="60" t="n">
        <f aca="false">IFERROR(SUM($C$6:$C16)/SUM($C$6:$C$17),0)</f>
        <v>1</v>
      </c>
      <c r="G16" s="75" t="n">
        <f aca="false">$I16+ROW()/100000</f>
        <v>0.00016</v>
      </c>
      <c r="H16" s="76" t="str">
        <f aca="false">Lists!$H$15</f>
        <v>Customer expectation mismatch</v>
      </c>
      <c r="I16" s="77" t="n">
        <f aca="false">COUNTIF(Register!$Q$5:$Q$304,$H16)</f>
        <v>0</v>
      </c>
      <c r="J16" s="78" t="n">
        <f aca="false">SUMIF(Register!$Q$5:$Q$304,$H16,Register!$AB$5:$AB$304)</f>
        <v>0</v>
      </c>
    </row>
    <row r="17" customFormat="false" ht="15" hidden="false" customHeight="false" outlineLevel="0" collapsed="false">
      <c r="B17" s="73" t="str">
        <f aca="false">INDEX($H$6:$H$17,MATCH(LARGE($G$6:$G$17,ROW()-5),$G$6:$G$17,0))</f>
        <v>Unclear process instruction</v>
      </c>
      <c r="C17" s="74" t="n">
        <f aca="false">INDEX($I$6:$I$17,MATCH(LARGE($G$6:$G$17,ROW()-5),$G$6:$G$17,0))</f>
        <v>0</v>
      </c>
      <c r="D17" s="59" t="n">
        <f aca="false">INDEX($J$6:$J$17,MATCH(LARGE($G$6:$G$17,ROW()-5),$G$6:$G$17,0))</f>
        <v>0</v>
      </c>
      <c r="E17" s="60" t="n">
        <f aca="false">IFERROR($D17/SUM($D$6:$D$17),0)</f>
        <v>0</v>
      </c>
      <c r="F17" s="60" t="n">
        <f aca="false">IFERROR(SUM($C$6:$C17)/SUM($C$6:$C$17),0)</f>
        <v>1</v>
      </c>
      <c r="G17" s="75" t="n">
        <f aca="false">$I17+ROW()/100000</f>
        <v>1.00017</v>
      </c>
      <c r="H17" s="76" t="str">
        <f aca="false">Lists!$H$16</f>
        <v>Policy / rule constraint</v>
      </c>
      <c r="I17" s="77" t="n">
        <f aca="false">COUNTIF(Register!$Q$5:$Q$304,$H17)</f>
        <v>1</v>
      </c>
      <c r="J17" s="78" t="n">
        <f aca="false">SUMIF(Register!$Q$5:$Q$304,$H17,Register!$AB$5:$AB$304)</f>
        <v>12</v>
      </c>
    </row>
    <row r="18" customFormat="false" ht="15" hidden="false" customHeight="false" outlineLevel="0" collapsed="false">
      <c r="B18" s="62" t="s">
        <v>368</v>
      </c>
      <c r="C18" s="80" t="n">
        <f aca="false">SUM($C$6:$C$17)</f>
        <v>11</v>
      </c>
      <c r="D18" s="81" t="n">
        <f aca="false">SUM($D$6:$D$17)</f>
        <v>55582</v>
      </c>
      <c r="E18" s="80"/>
      <c r="F18" s="80"/>
    </row>
  </sheetData>
  <sheetProtection sheet="true" formatColumns="false" formatRows="false" sort="false" autoFilter="false"/>
  <mergeCells count="5">
    <mergeCell ref="B1:K1"/>
    <mergeCell ref="B2:K2"/>
    <mergeCell ref="B4:F4"/>
    <mergeCell ref="H4:J4"/>
    <mergeCell ref="K6:K11"/>
  </mergeCells>
  <conditionalFormatting sqref="F6:F17">
    <cfRule type="cellIs" priority="2" operator="lessThanOrEqual" aboveAverage="0" equalAverage="0" bottom="0" percent="0" rank="0" text="" dxfId="25">
      <formula>0.8</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K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1"/>
    <col collapsed="false" customWidth="true" hidden="false" outlineLevel="0" max="3" min="3" style="0" width="10"/>
    <col collapsed="false" customWidth="true" hidden="false" outlineLevel="0" max="5" min="4" style="0" width="11"/>
    <col collapsed="false" customWidth="true" hidden="false" outlineLevel="0" max="7" min="6" style="0" width="10"/>
    <col collapsed="false" customWidth="true" hidden="false" outlineLevel="0" max="8" min="8" style="0" width="11"/>
    <col collapsed="false" customWidth="true" hidden="false" outlineLevel="0" max="9" min="9" style="0" width="13"/>
    <col collapsed="false" customWidth="true" hidden="false" outlineLevel="0" max="10" min="10" style="0" width="12"/>
    <col collapsed="false" customWidth="true" hidden="false" outlineLevel="0" max="11" min="11" style="0" width="34"/>
  </cols>
  <sheetData>
    <row r="1" customFormat="false" ht="30" hidden="false" customHeight="true" outlineLevel="0" collapsed="false">
      <c r="B1" s="43" t="s">
        <v>394</v>
      </c>
      <c r="C1" s="43"/>
      <c r="D1" s="43"/>
      <c r="E1" s="43"/>
      <c r="F1" s="43"/>
      <c r="G1" s="43"/>
      <c r="H1" s="43"/>
      <c r="I1" s="43"/>
      <c r="J1" s="43"/>
      <c r="K1" s="43"/>
    </row>
    <row r="2" customFormat="false" ht="15" hidden="false" customHeight="false" outlineLevel="0" collapsed="false">
      <c r="B2" s="44" t="s">
        <v>395</v>
      </c>
      <c r="C2" s="44"/>
      <c r="D2" s="44"/>
      <c r="E2" s="44"/>
      <c r="F2" s="44"/>
      <c r="G2" s="44"/>
      <c r="H2" s="44"/>
      <c r="I2" s="44"/>
      <c r="J2" s="44"/>
      <c r="K2" s="44"/>
    </row>
    <row r="4" customFormat="false" ht="31.5" hidden="false" customHeight="true" outlineLevel="0" collapsed="false">
      <c r="B4" s="49" t="s">
        <v>396</v>
      </c>
      <c r="C4" s="49" t="s">
        <v>362</v>
      </c>
      <c r="D4" s="49" t="s">
        <v>349</v>
      </c>
      <c r="E4" s="49" t="s">
        <v>350</v>
      </c>
      <c r="F4" s="49" t="s">
        <v>352</v>
      </c>
      <c r="G4" s="49" t="s">
        <v>356</v>
      </c>
      <c r="H4" s="49" t="s">
        <v>351</v>
      </c>
      <c r="I4" s="49" t="s">
        <v>365</v>
      </c>
      <c r="J4" s="49" t="s">
        <v>375</v>
      </c>
      <c r="K4" s="49" t="s">
        <v>397</v>
      </c>
    </row>
    <row r="5" customFormat="false" ht="15" hidden="false" customHeight="false" outlineLevel="0" collapsed="false">
      <c r="B5" s="82" t="n">
        <f aca="true">EOMONTH(TODAY(),-24)+1</f>
        <v>45505</v>
      </c>
      <c r="C5" s="74" t="n">
        <f aca="false">COUNTIFS(Register!$B$5:$B$304,"&gt;="&amp;$B5,Register!$B$5:$B$304,"&lt;="&amp;EOMONTH($B5,0))</f>
        <v>0</v>
      </c>
      <c r="D5" s="74" t="n">
        <f aca="false">COUNTIFS(Register!$H$5:$H$304,"Complaint",Register!$P$5:$P$304,"Upheld",Register!$B$5:$B$304,"&gt;="&amp;$B5,Register!$B$5:$B$304,"&lt;="&amp;EOMONTH($B5,0))</f>
        <v>0</v>
      </c>
      <c r="E5" s="74" t="n">
        <f aca="false">COUNTIFS(Register!$H$5:$H$304,"Nonconformity (process)",Register!$B$5:$B$304,"&gt;="&amp;$B5,Register!$B$5:$B$304,"&lt;="&amp;EOMONTH($B5,0))</f>
        <v>0</v>
      </c>
      <c r="F5" s="60" t="n">
        <f aca="false">IFERROR(COUNTIFS(Register!$N$5:$N$304,"Yes",Register!$B$5:$B$304,"&gt;="&amp;$B5,Register!$B$5:$B$304,"&lt;="&amp;EOMONTH($B5,0))/$C5,0)</f>
        <v>0</v>
      </c>
      <c r="G5" s="74" t="n">
        <f aca="false">COUNTIFS(Register!$S$5:$S$304,"Yes",Register!$B$5:$B$304,"&gt;="&amp;$B5,Register!$B$5:$B$304,"&lt;="&amp;EOMONTH($B5,0))</f>
        <v>0</v>
      </c>
      <c r="H5" s="74" t="n">
        <f aca="false">COUNTIFS(Register!$AM$5:$AM$304,"OVERDUE",Register!$B$5:$B$304,"&gt;="&amp;$B5,Register!$B$5:$B$304,"&lt;="&amp;EOMONTH($B5,0))</f>
        <v>0</v>
      </c>
      <c r="I5" s="59" t="n">
        <f aca="false">SUMIFS(Register!$AB$5:$AB$304,Register!$B$5:$B$304,"&gt;="&amp;$B5,Register!$B$5:$B$304,"&lt;="&amp;EOMONTH($B5,0))</f>
        <v>0</v>
      </c>
      <c r="J5" s="58" t="n">
        <f aca="false">IFERROR(AVERAGEIFS(Register!$AK$5:$AK$304,Register!$B$5:$B$304,"&gt;="&amp;$B5,Register!$B$5:$B$304,"&lt;="&amp;EOMONTH($B5,0),Register!$AK$5:$AK$304,"&gt;=0"),0)</f>
        <v>0</v>
      </c>
      <c r="K5" s="83"/>
    </row>
    <row r="6" customFormat="false" ht="15" hidden="false" customHeight="false" outlineLevel="0" collapsed="false">
      <c r="B6" s="82" t="n">
        <f aca="false">EOMONTH($B5,0)+1</f>
        <v>45536</v>
      </c>
      <c r="C6" s="74" t="n">
        <f aca="false">COUNTIFS(Register!$B$5:$B$304,"&gt;="&amp;$B6,Register!$B$5:$B$304,"&lt;="&amp;EOMONTH($B6,0))</f>
        <v>0</v>
      </c>
      <c r="D6" s="74" t="n">
        <f aca="false">COUNTIFS(Register!$H$5:$H$304,"Complaint",Register!$P$5:$P$304,"Upheld",Register!$B$5:$B$304,"&gt;="&amp;$B6,Register!$B$5:$B$304,"&lt;="&amp;EOMONTH($B6,0))</f>
        <v>0</v>
      </c>
      <c r="E6" s="74" t="n">
        <f aca="false">COUNTIFS(Register!$H$5:$H$304,"Nonconformity (process)",Register!$B$5:$B$304,"&gt;="&amp;$B6,Register!$B$5:$B$304,"&lt;="&amp;EOMONTH($B6,0))</f>
        <v>0</v>
      </c>
      <c r="F6" s="60" t="n">
        <f aca="false">IFERROR(COUNTIFS(Register!$N$5:$N$304,"Yes",Register!$B$5:$B$304,"&gt;="&amp;$B6,Register!$B$5:$B$304,"&lt;="&amp;EOMONTH($B6,0))/$C6,0)</f>
        <v>0</v>
      </c>
      <c r="G6" s="74" t="n">
        <f aca="false">COUNTIFS(Register!$S$5:$S$304,"Yes",Register!$B$5:$B$304,"&gt;="&amp;$B6,Register!$B$5:$B$304,"&lt;="&amp;EOMONTH($B6,0))</f>
        <v>0</v>
      </c>
      <c r="H6" s="74" t="n">
        <f aca="false">COUNTIFS(Register!$AM$5:$AM$304,"OVERDUE",Register!$B$5:$B$304,"&gt;="&amp;$B6,Register!$B$5:$B$304,"&lt;="&amp;EOMONTH($B6,0))</f>
        <v>0</v>
      </c>
      <c r="I6" s="59" t="n">
        <f aca="false">SUMIFS(Register!$AB$5:$AB$304,Register!$B$5:$B$304,"&gt;="&amp;$B6,Register!$B$5:$B$304,"&lt;="&amp;EOMONTH($B6,0))</f>
        <v>0</v>
      </c>
      <c r="J6" s="58" t="n">
        <f aca="false">IFERROR(AVERAGEIFS(Register!$AK$5:$AK$304,Register!$B$5:$B$304,"&gt;="&amp;$B6,Register!$B$5:$B$304,"&lt;="&amp;EOMONTH($B6,0),Register!$AK$5:$AK$304,"&gt;=0"),0)</f>
        <v>0</v>
      </c>
      <c r="K6" s="83"/>
    </row>
    <row r="7" customFormat="false" ht="15" hidden="false" customHeight="false" outlineLevel="0" collapsed="false">
      <c r="B7" s="82" t="n">
        <f aca="false">EOMONTH($B6,0)+1</f>
        <v>45566</v>
      </c>
      <c r="C7" s="74" t="n">
        <f aca="false">COUNTIFS(Register!$B$5:$B$304,"&gt;="&amp;$B7,Register!$B$5:$B$304,"&lt;="&amp;EOMONTH($B7,0))</f>
        <v>0</v>
      </c>
      <c r="D7" s="74" t="n">
        <f aca="false">COUNTIFS(Register!$H$5:$H$304,"Complaint",Register!$P$5:$P$304,"Upheld",Register!$B$5:$B$304,"&gt;="&amp;$B7,Register!$B$5:$B$304,"&lt;="&amp;EOMONTH($B7,0))</f>
        <v>0</v>
      </c>
      <c r="E7" s="74" t="n">
        <f aca="false">COUNTIFS(Register!$H$5:$H$304,"Nonconformity (process)",Register!$B$5:$B$304,"&gt;="&amp;$B7,Register!$B$5:$B$304,"&lt;="&amp;EOMONTH($B7,0))</f>
        <v>0</v>
      </c>
      <c r="F7" s="60" t="n">
        <f aca="false">IFERROR(COUNTIFS(Register!$N$5:$N$304,"Yes",Register!$B$5:$B$304,"&gt;="&amp;$B7,Register!$B$5:$B$304,"&lt;="&amp;EOMONTH($B7,0))/$C7,0)</f>
        <v>0</v>
      </c>
      <c r="G7" s="74" t="n">
        <f aca="false">COUNTIFS(Register!$S$5:$S$304,"Yes",Register!$B$5:$B$304,"&gt;="&amp;$B7,Register!$B$5:$B$304,"&lt;="&amp;EOMONTH($B7,0))</f>
        <v>0</v>
      </c>
      <c r="H7" s="74" t="n">
        <f aca="false">COUNTIFS(Register!$AM$5:$AM$304,"OVERDUE",Register!$B$5:$B$304,"&gt;="&amp;$B7,Register!$B$5:$B$304,"&lt;="&amp;EOMONTH($B7,0))</f>
        <v>0</v>
      </c>
      <c r="I7" s="59" t="n">
        <f aca="false">SUMIFS(Register!$AB$5:$AB$304,Register!$B$5:$B$304,"&gt;="&amp;$B7,Register!$B$5:$B$304,"&lt;="&amp;EOMONTH($B7,0))</f>
        <v>0</v>
      </c>
      <c r="J7" s="58" t="n">
        <f aca="false">IFERROR(AVERAGEIFS(Register!$AK$5:$AK$304,Register!$B$5:$B$304,"&gt;="&amp;$B7,Register!$B$5:$B$304,"&lt;="&amp;EOMONTH($B7,0),Register!$AK$5:$AK$304,"&gt;=0"),0)</f>
        <v>0</v>
      </c>
      <c r="K7" s="83"/>
    </row>
    <row r="8" customFormat="false" ht="15" hidden="false" customHeight="false" outlineLevel="0" collapsed="false">
      <c r="B8" s="82" t="n">
        <f aca="false">EOMONTH($B7,0)+1</f>
        <v>45597</v>
      </c>
      <c r="C8" s="74" t="n">
        <f aca="false">COUNTIFS(Register!$B$5:$B$304,"&gt;="&amp;$B8,Register!$B$5:$B$304,"&lt;="&amp;EOMONTH($B8,0))</f>
        <v>0</v>
      </c>
      <c r="D8" s="74" t="n">
        <f aca="false">COUNTIFS(Register!$H$5:$H$304,"Complaint",Register!$P$5:$P$304,"Upheld",Register!$B$5:$B$304,"&gt;="&amp;$B8,Register!$B$5:$B$304,"&lt;="&amp;EOMONTH($B8,0))</f>
        <v>0</v>
      </c>
      <c r="E8" s="74" t="n">
        <f aca="false">COUNTIFS(Register!$H$5:$H$304,"Nonconformity (process)",Register!$B$5:$B$304,"&gt;="&amp;$B8,Register!$B$5:$B$304,"&lt;="&amp;EOMONTH($B8,0))</f>
        <v>0</v>
      </c>
      <c r="F8" s="60" t="n">
        <f aca="false">IFERROR(COUNTIFS(Register!$N$5:$N$304,"Yes",Register!$B$5:$B$304,"&gt;="&amp;$B8,Register!$B$5:$B$304,"&lt;="&amp;EOMONTH($B8,0))/$C8,0)</f>
        <v>0</v>
      </c>
      <c r="G8" s="74" t="n">
        <f aca="false">COUNTIFS(Register!$S$5:$S$304,"Yes",Register!$B$5:$B$304,"&gt;="&amp;$B8,Register!$B$5:$B$304,"&lt;="&amp;EOMONTH($B8,0))</f>
        <v>0</v>
      </c>
      <c r="H8" s="74" t="n">
        <f aca="false">COUNTIFS(Register!$AM$5:$AM$304,"OVERDUE",Register!$B$5:$B$304,"&gt;="&amp;$B8,Register!$B$5:$B$304,"&lt;="&amp;EOMONTH($B8,0))</f>
        <v>0</v>
      </c>
      <c r="I8" s="59" t="n">
        <f aca="false">SUMIFS(Register!$AB$5:$AB$304,Register!$B$5:$B$304,"&gt;="&amp;$B8,Register!$B$5:$B$304,"&lt;="&amp;EOMONTH($B8,0))</f>
        <v>0</v>
      </c>
      <c r="J8" s="58" t="n">
        <f aca="false">IFERROR(AVERAGEIFS(Register!$AK$5:$AK$304,Register!$B$5:$B$304,"&gt;="&amp;$B8,Register!$B$5:$B$304,"&lt;="&amp;EOMONTH($B8,0),Register!$AK$5:$AK$304,"&gt;=0"),0)</f>
        <v>0</v>
      </c>
      <c r="K8" s="83"/>
    </row>
    <row r="9" customFormat="false" ht="15" hidden="false" customHeight="false" outlineLevel="0" collapsed="false">
      <c r="B9" s="82" t="n">
        <f aca="false">EOMONTH($B8,0)+1</f>
        <v>45627</v>
      </c>
      <c r="C9" s="74" t="n">
        <f aca="false">COUNTIFS(Register!$B$5:$B$304,"&gt;="&amp;$B9,Register!$B$5:$B$304,"&lt;="&amp;EOMONTH($B9,0))</f>
        <v>0</v>
      </c>
      <c r="D9" s="74" t="n">
        <f aca="false">COUNTIFS(Register!$H$5:$H$304,"Complaint",Register!$P$5:$P$304,"Upheld",Register!$B$5:$B$304,"&gt;="&amp;$B9,Register!$B$5:$B$304,"&lt;="&amp;EOMONTH($B9,0))</f>
        <v>0</v>
      </c>
      <c r="E9" s="74" t="n">
        <f aca="false">COUNTIFS(Register!$H$5:$H$304,"Nonconformity (process)",Register!$B$5:$B$304,"&gt;="&amp;$B9,Register!$B$5:$B$304,"&lt;="&amp;EOMONTH($B9,0))</f>
        <v>0</v>
      </c>
      <c r="F9" s="60" t="n">
        <f aca="false">IFERROR(COUNTIFS(Register!$N$5:$N$304,"Yes",Register!$B$5:$B$304,"&gt;="&amp;$B9,Register!$B$5:$B$304,"&lt;="&amp;EOMONTH($B9,0))/$C9,0)</f>
        <v>0</v>
      </c>
      <c r="G9" s="74" t="n">
        <f aca="false">COUNTIFS(Register!$S$5:$S$304,"Yes",Register!$B$5:$B$304,"&gt;="&amp;$B9,Register!$B$5:$B$304,"&lt;="&amp;EOMONTH($B9,0))</f>
        <v>0</v>
      </c>
      <c r="H9" s="74" t="n">
        <f aca="false">COUNTIFS(Register!$AM$5:$AM$304,"OVERDUE",Register!$B$5:$B$304,"&gt;="&amp;$B9,Register!$B$5:$B$304,"&lt;="&amp;EOMONTH($B9,0))</f>
        <v>0</v>
      </c>
      <c r="I9" s="59" t="n">
        <f aca="false">SUMIFS(Register!$AB$5:$AB$304,Register!$B$5:$B$304,"&gt;="&amp;$B9,Register!$B$5:$B$304,"&lt;="&amp;EOMONTH($B9,0))</f>
        <v>0</v>
      </c>
      <c r="J9" s="58" t="n">
        <f aca="false">IFERROR(AVERAGEIFS(Register!$AK$5:$AK$304,Register!$B$5:$B$304,"&gt;="&amp;$B9,Register!$B$5:$B$304,"&lt;="&amp;EOMONTH($B9,0),Register!$AK$5:$AK$304,"&gt;=0"),0)</f>
        <v>0</v>
      </c>
      <c r="K9" s="83"/>
    </row>
    <row r="10" customFormat="false" ht="15" hidden="false" customHeight="false" outlineLevel="0" collapsed="false">
      <c r="B10" s="82" t="n">
        <f aca="false">EOMONTH($B9,0)+1</f>
        <v>45658</v>
      </c>
      <c r="C10" s="74" t="n">
        <f aca="false">COUNTIFS(Register!$B$5:$B$304,"&gt;="&amp;$B10,Register!$B$5:$B$304,"&lt;="&amp;EOMONTH($B10,0))</f>
        <v>0</v>
      </c>
      <c r="D10" s="74" t="n">
        <f aca="false">COUNTIFS(Register!$H$5:$H$304,"Complaint",Register!$P$5:$P$304,"Upheld",Register!$B$5:$B$304,"&gt;="&amp;$B10,Register!$B$5:$B$304,"&lt;="&amp;EOMONTH($B10,0))</f>
        <v>0</v>
      </c>
      <c r="E10" s="74" t="n">
        <f aca="false">COUNTIFS(Register!$H$5:$H$304,"Nonconformity (process)",Register!$B$5:$B$304,"&gt;="&amp;$B10,Register!$B$5:$B$304,"&lt;="&amp;EOMONTH($B10,0))</f>
        <v>0</v>
      </c>
      <c r="F10" s="60" t="n">
        <f aca="false">IFERROR(COUNTIFS(Register!$N$5:$N$304,"Yes",Register!$B$5:$B$304,"&gt;="&amp;$B10,Register!$B$5:$B$304,"&lt;="&amp;EOMONTH($B10,0))/$C10,0)</f>
        <v>0</v>
      </c>
      <c r="G10" s="74" t="n">
        <f aca="false">COUNTIFS(Register!$S$5:$S$304,"Yes",Register!$B$5:$B$304,"&gt;="&amp;$B10,Register!$B$5:$B$304,"&lt;="&amp;EOMONTH($B10,0))</f>
        <v>0</v>
      </c>
      <c r="H10" s="74" t="n">
        <f aca="false">COUNTIFS(Register!$AM$5:$AM$304,"OVERDUE",Register!$B$5:$B$304,"&gt;="&amp;$B10,Register!$B$5:$B$304,"&lt;="&amp;EOMONTH($B10,0))</f>
        <v>0</v>
      </c>
      <c r="I10" s="59" t="n">
        <f aca="false">SUMIFS(Register!$AB$5:$AB$304,Register!$B$5:$B$304,"&gt;="&amp;$B10,Register!$B$5:$B$304,"&lt;="&amp;EOMONTH($B10,0))</f>
        <v>0</v>
      </c>
      <c r="J10" s="58" t="n">
        <f aca="false">IFERROR(AVERAGEIFS(Register!$AK$5:$AK$304,Register!$B$5:$B$304,"&gt;="&amp;$B10,Register!$B$5:$B$304,"&lt;="&amp;EOMONTH($B10,0),Register!$AK$5:$AK$304,"&gt;=0"),0)</f>
        <v>0</v>
      </c>
      <c r="K10" s="83"/>
    </row>
    <row r="11" customFormat="false" ht="15" hidden="false" customHeight="false" outlineLevel="0" collapsed="false">
      <c r="B11" s="82" t="n">
        <f aca="false">EOMONTH($B10,0)+1</f>
        <v>45689</v>
      </c>
      <c r="C11" s="74" t="n">
        <f aca="false">COUNTIFS(Register!$B$5:$B$304,"&gt;="&amp;$B11,Register!$B$5:$B$304,"&lt;="&amp;EOMONTH($B11,0))</f>
        <v>0</v>
      </c>
      <c r="D11" s="74" t="n">
        <f aca="false">COUNTIFS(Register!$H$5:$H$304,"Complaint",Register!$P$5:$P$304,"Upheld",Register!$B$5:$B$304,"&gt;="&amp;$B11,Register!$B$5:$B$304,"&lt;="&amp;EOMONTH($B11,0))</f>
        <v>0</v>
      </c>
      <c r="E11" s="74" t="n">
        <f aca="false">COUNTIFS(Register!$H$5:$H$304,"Nonconformity (process)",Register!$B$5:$B$304,"&gt;="&amp;$B11,Register!$B$5:$B$304,"&lt;="&amp;EOMONTH($B11,0))</f>
        <v>0</v>
      </c>
      <c r="F11" s="60" t="n">
        <f aca="false">IFERROR(COUNTIFS(Register!$N$5:$N$304,"Yes",Register!$B$5:$B$304,"&gt;="&amp;$B11,Register!$B$5:$B$304,"&lt;="&amp;EOMONTH($B11,0))/$C11,0)</f>
        <v>0</v>
      </c>
      <c r="G11" s="74" t="n">
        <f aca="false">COUNTIFS(Register!$S$5:$S$304,"Yes",Register!$B$5:$B$304,"&gt;="&amp;$B11,Register!$B$5:$B$304,"&lt;="&amp;EOMONTH($B11,0))</f>
        <v>0</v>
      </c>
      <c r="H11" s="74" t="n">
        <f aca="false">COUNTIFS(Register!$AM$5:$AM$304,"OVERDUE",Register!$B$5:$B$304,"&gt;="&amp;$B11,Register!$B$5:$B$304,"&lt;="&amp;EOMONTH($B11,0))</f>
        <v>0</v>
      </c>
      <c r="I11" s="59" t="n">
        <f aca="false">SUMIFS(Register!$AB$5:$AB$304,Register!$B$5:$B$304,"&gt;="&amp;$B11,Register!$B$5:$B$304,"&lt;="&amp;EOMONTH($B11,0))</f>
        <v>0</v>
      </c>
      <c r="J11" s="58" t="n">
        <f aca="false">IFERROR(AVERAGEIFS(Register!$AK$5:$AK$304,Register!$B$5:$B$304,"&gt;="&amp;$B11,Register!$B$5:$B$304,"&lt;="&amp;EOMONTH($B11,0),Register!$AK$5:$AK$304,"&gt;=0"),0)</f>
        <v>0</v>
      </c>
      <c r="K11" s="83"/>
    </row>
    <row r="12" customFormat="false" ht="15" hidden="false" customHeight="false" outlineLevel="0" collapsed="false">
      <c r="B12" s="82" t="n">
        <f aca="false">EOMONTH($B11,0)+1</f>
        <v>45717</v>
      </c>
      <c r="C12" s="74" t="n">
        <f aca="false">COUNTIFS(Register!$B$5:$B$304,"&gt;="&amp;$B12,Register!$B$5:$B$304,"&lt;="&amp;EOMONTH($B12,0))</f>
        <v>0</v>
      </c>
      <c r="D12" s="74" t="n">
        <f aca="false">COUNTIFS(Register!$H$5:$H$304,"Complaint",Register!$P$5:$P$304,"Upheld",Register!$B$5:$B$304,"&gt;="&amp;$B12,Register!$B$5:$B$304,"&lt;="&amp;EOMONTH($B12,0))</f>
        <v>0</v>
      </c>
      <c r="E12" s="74" t="n">
        <f aca="false">COUNTIFS(Register!$H$5:$H$304,"Nonconformity (process)",Register!$B$5:$B$304,"&gt;="&amp;$B12,Register!$B$5:$B$304,"&lt;="&amp;EOMONTH($B12,0))</f>
        <v>0</v>
      </c>
      <c r="F12" s="60" t="n">
        <f aca="false">IFERROR(COUNTIFS(Register!$N$5:$N$304,"Yes",Register!$B$5:$B$304,"&gt;="&amp;$B12,Register!$B$5:$B$304,"&lt;="&amp;EOMONTH($B12,0))/$C12,0)</f>
        <v>0</v>
      </c>
      <c r="G12" s="74" t="n">
        <f aca="false">COUNTIFS(Register!$S$5:$S$304,"Yes",Register!$B$5:$B$304,"&gt;="&amp;$B12,Register!$B$5:$B$304,"&lt;="&amp;EOMONTH($B12,0))</f>
        <v>0</v>
      </c>
      <c r="H12" s="74" t="n">
        <f aca="false">COUNTIFS(Register!$AM$5:$AM$304,"OVERDUE",Register!$B$5:$B$304,"&gt;="&amp;$B12,Register!$B$5:$B$304,"&lt;="&amp;EOMONTH($B12,0))</f>
        <v>0</v>
      </c>
      <c r="I12" s="59" t="n">
        <f aca="false">SUMIFS(Register!$AB$5:$AB$304,Register!$B$5:$B$304,"&gt;="&amp;$B12,Register!$B$5:$B$304,"&lt;="&amp;EOMONTH($B12,0))</f>
        <v>0</v>
      </c>
      <c r="J12" s="58" t="n">
        <f aca="false">IFERROR(AVERAGEIFS(Register!$AK$5:$AK$304,Register!$B$5:$B$304,"&gt;="&amp;$B12,Register!$B$5:$B$304,"&lt;="&amp;EOMONTH($B12,0),Register!$AK$5:$AK$304,"&gt;=0"),0)</f>
        <v>0</v>
      </c>
      <c r="K12" s="83"/>
    </row>
    <row r="13" customFormat="false" ht="15" hidden="false" customHeight="false" outlineLevel="0" collapsed="false">
      <c r="B13" s="82" t="n">
        <f aca="false">EOMONTH($B12,0)+1</f>
        <v>45748</v>
      </c>
      <c r="C13" s="74" t="n">
        <f aca="false">COUNTIFS(Register!$B$5:$B$304,"&gt;="&amp;$B13,Register!$B$5:$B$304,"&lt;="&amp;EOMONTH($B13,0))</f>
        <v>0</v>
      </c>
      <c r="D13" s="74" t="n">
        <f aca="false">COUNTIFS(Register!$H$5:$H$304,"Complaint",Register!$P$5:$P$304,"Upheld",Register!$B$5:$B$304,"&gt;="&amp;$B13,Register!$B$5:$B$304,"&lt;="&amp;EOMONTH($B13,0))</f>
        <v>0</v>
      </c>
      <c r="E13" s="74" t="n">
        <f aca="false">COUNTIFS(Register!$H$5:$H$304,"Nonconformity (process)",Register!$B$5:$B$304,"&gt;="&amp;$B13,Register!$B$5:$B$304,"&lt;="&amp;EOMONTH($B13,0))</f>
        <v>0</v>
      </c>
      <c r="F13" s="60" t="n">
        <f aca="false">IFERROR(COUNTIFS(Register!$N$5:$N$304,"Yes",Register!$B$5:$B$304,"&gt;="&amp;$B13,Register!$B$5:$B$304,"&lt;="&amp;EOMONTH($B13,0))/$C13,0)</f>
        <v>0</v>
      </c>
      <c r="G13" s="74" t="n">
        <f aca="false">COUNTIFS(Register!$S$5:$S$304,"Yes",Register!$B$5:$B$304,"&gt;="&amp;$B13,Register!$B$5:$B$304,"&lt;="&amp;EOMONTH($B13,0))</f>
        <v>0</v>
      </c>
      <c r="H13" s="74" t="n">
        <f aca="false">COUNTIFS(Register!$AM$5:$AM$304,"OVERDUE",Register!$B$5:$B$304,"&gt;="&amp;$B13,Register!$B$5:$B$304,"&lt;="&amp;EOMONTH($B13,0))</f>
        <v>0</v>
      </c>
      <c r="I13" s="59" t="n">
        <f aca="false">SUMIFS(Register!$AB$5:$AB$304,Register!$B$5:$B$304,"&gt;="&amp;$B13,Register!$B$5:$B$304,"&lt;="&amp;EOMONTH($B13,0))</f>
        <v>0</v>
      </c>
      <c r="J13" s="58" t="n">
        <f aca="false">IFERROR(AVERAGEIFS(Register!$AK$5:$AK$304,Register!$B$5:$B$304,"&gt;="&amp;$B13,Register!$B$5:$B$304,"&lt;="&amp;EOMONTH($B13,0),Register!$AK$5:$AK$304,"&gt;=0"),0)</f>
        <v>0</v>
      </c>
      <c r="K13" s="83"/>
    </row>
    <row r="14" customFormat="false" ht="15" hidden="false" customHeight="false" outlineLevel="0" collapsed="false">
      <c r="B14" s="82" t="n">
        <f aca="false">EOMONTH($B13,0)+1</f>
        <v>45778</v>
      </c>
      <c r="C14" s="74" t="n">
        <f aca="false">COUNTIFS(Register!$B$5:$B$304,"&gt;="&amp;$B14,Register!$B$5:$B$304,"&lt;="&amp;EOMONTH($B14,0))</f>
        <v>0</v>
      </c>
      <c r="D14" s="74" t="n">
        <f aca="false">COUNTIFS(Register!$H$5:$H$304,"Complaint",Register!$P$5:$P$304,"Upheld",Register!$B$5:$B$304,"&gt;="&amp;$B14,Register!$B$5:$B$304,"&lt;="&amp;EOMONTH($B14,0))</f>
        <v>0</v>
      </c>
      <c r="E14" s="74" t="n">
        <f aca="false">COUNTIFS(Register!$H$5:$H$304,"Nonconformity (process)",Register!$B$5:$B$304,"&gt;="&amp;$B14,Register!$B$5:$B$304,"&lt;="&amp;EOMONTH($B14,0))</f>
        <v>0</v>
      </c>
      <c r="F14" s="60" t="n">
        <f aca="false">IFERROR(COUNTIFS(Register!$N$5:$N$304,"Yes",Register!$B$5:$B$304,"&gt;="&amp;$B14,Register!$B$5:$B$304,"&lt;="&amp;EOMONTH($B14,0))/$C14,0)</f>
        <v>0</v>
      </c>
      <c r="G14" s="74" t="n">
        <f aca="false">COUNTIFS(Register!$S$5:$S$304,"Yes",Register!$B$5:$B$304,"&gt;="&amp;$B14,Register!$B$5:$B$304,"&lt;="&amp;EOMONTH($B14,0))</f>
        <v>0</v>
      </c>
      <c r="H14" s="74" t="n">
        <f aca="false">COUNTIFS(Register!$AM$5:$AM$304,"OVERDUE",Register!$B$5:$B$304,"&gt;="&amp;$B14,Register!$B$5:$B$304,"&lt;="&amp;EOMONTH($B14,0))</f>
        <v>0</v>
      </c>
      <c r="I14" s="59" t="n">
        <f aca="false">SUMIFS(Register!$AB$5:$AB$304,Register!$B$5:$B$304,"&gt;="&amp;$B14,Register!$B$5:$B$304,"&lt;="&amp;EOMONTH($B14,0))</f>
        <v>0</v>
      </c>
      <c r="J14" s="58" t="n">
        <f aca="false">IFERROR(AVERAGEIFS(Register!$AK$5:$AK$304,Register!$B$5:$B$304,"&gt;="&amp;$B14,Register!$B$5:$B$304,"&lt;="&amp;EOMONTH($B14,0),Register!$AK$5:$AK$304,"&gt;=0"),0)</f>
        <v>0</v>
      </c>
      <c r="K14" s="83"/>
    </row>
    <row r="15" customFormat="false" ht="15" hidden="false" customHeight="false" outlineLevel="0" collapsed="false">
      <c r="B15" s="82" t="n">
        <f aca="false">EOMONTH($B14,0)+1</f>
        <v>45809</v>
      </c>
      <c r="C15" s="74" t="n">
        <f aca="false">COUNTIFS(Register!$B$5:$B$304,"&gt;="&amp;$B15,Register!$B$5:$B$304,"&lt;="&amp;EOMONTH($B15,0))</f>
        <v>0</v>
      </c>
      <c r="D15" s="74" t="n">
        <f aca="false">COUNTIFS(Register!$H$5:$H$304,"Complaint",Register!$P$5:$P$304,"Upheld",Register!$B$5:$B$304,"&gt;="&amp;$B15,Register!$B$5:$B$304,"&lt;="&amp;EOMONTH($B15,0))</f>
        <v>0</v>
      </c>
      <c r="E15" s="74" t="n">
        <f aca="false">COUNTIFS(Register!$H$5:$H$304,"Nonconformity (process)",Register!$B$5:$B$304,"&gt;="&amp;$B15,Register!$B$5:$B$304,"&lt;="&amp;EOMONTH($B15,0))</f>
        <v>0</v>
      </c>
      <c r="F15" s="60" t="n">
        <f aca="false">IFERROR(COUNTIFS(Register!$N$5:$N$304,"Yes",Register!$B$5:$B$304,"&gt;="&amp;$B15,Register!$B$5:$B$304,"&lt;="&amp;EOMONTH($B15,0))/$C15,0)</f>
        <v>0</v>
      </c>
      <c r="G15" s="74" t="n">
        <f aca="false">COUNTIFS(Register!$S$5:$S$304,"Yes",Register!$B$5:$B$304,"&gt;="&amp;$B15,Register!$B$5:$B$304,"&lt;="&amp;EOMONTH($B15,0))</f>
        <v>0</v>
      </c>
      <c r="H15" s="74" t="n">
        <f aca="false">COUNTIFS(Register!$AM$5:$AM$304,"OVERDUE",Register!$B$5:$B$304,"&gt;="&amp;$B15,Register!$B$5:$B$304,"&lt;="&amp;EOMONTH($B15,0))</f>
        <v>0</v>
      </c>
      <c r="I15" s="59" t="n">
        <f aca="false">SUMIFS(Register!$AB$5:$AB$304,Register!$B$5:$B$304,"&gt;="&amp;$B15,Register!$B$5:$B$304,"&lt;="&amp;EOMONTH($B15,0))</f>
        <v>0</v>
      </c>
      <c r="J15" s="58" t="n">
        <f aca="false">IFERROR(AVERAGEIFS(Register!$AK$5:$AK$304,Register!$B$5:$B$304,"&gt;="&amp;$B15,Register!$B$5:$B$304,"&lt;="&amp;EOMONTH($B15,0),Register!$AK$5:$AK$304,"&gt;=0"),0)</f>
        <v>0</v>
      </c>
      <c r="K15" s="83"/>
    </row>
    <row r="16" customFormat="false" ht="15" hidden="false" customHeight="false" outlineLevel="0" collapsed="false">
      <c r="B16" s="82" t="n">
        <f aca="false">EOMONTH($B15,0)+1</f>
        <v>45839</v>
      </c>
      <c r="C16" s="74" t="n">
        <f aca="false">COUNTIFS(Register!$B$5:$B$304,"&gt;="&amp;$B16,Register!$B$5:$B$304,"&lt;="&amp;EOMONTH($B16,0))</f>
        <v>0</v>
      </c>
      <c r="D16" s="74" t="n">
        <f aca="false">COUNTIFS(Register!$H$5:$H$304,"Complaint",Register!$P$5:$P$304,"Upheld",Register!$B$5:$B$304,"&gt;="&amp;$B16,Register!$B$5:$B$304,"&lt;="&amp;EOMONTH($B16,0))</f>
        <v>0</v>
      </c>
      <c r="E16" s="74" t="n">
        <f aca="false">COUNTIFS(Register!$H$5:$H$304,"Nonconformity (process)",Register!$B$5:$B$304,"&gt;="&amp;$B16,Register!$B$5:$B$304,"&lt;="&amp;EOMONTH($B16,0))</f>
        <v>0</v>
      </c>
      <c r="F16" s="60" t="n">
        <f aca="false">IFERROR(COUNTIFS(Register!$N$5:$N$304,"Yes",Register!$B$5:$B$304,"&gt;="&amp;$B16,Register!$B$5:$B$304,"&lt;="&amp;EOMONTH($B16,0))/$C16,0)</f>
        <v>0</v>
      </c>
      <c r="G16" s="74" t="n">
        <f aca="false">COUNTIFS(Register!$S$5:$S$304,"Yes",Register!$B$5:$B$304,"&gt;="&amp;$B16,Register!$B$5:$B$304,"&lt;="&amp;EOMONTH($B16,0))</f>
        <v>0</v>
      </c>
      <c r="H16" s="74" t="n">
        <f aca="false">COUNTIFS(Register!$AM$5:$AM$304,"OVERDUE",Register!$B$5:$B$304,"&gt;="&amp;$B16,Register!$B$5:$B$304,"&lt;="&amp;EOMONTH($B16,0))</f>
        <v>0</v>
      </c>
      <c r="I16" s="59" t="n">
        <f aca="false">SUMIFS(Register!$AB$5:$AB$304,Register!$B$5:$B$304,"&gt;="&amp;$B16,Register!$B$5:$B$304,"&lt;="&amp;EOMONTH($B16,0))</f>
        <v>0</v>
      </c>
      <c r="J16" s="58" t="n">
        <f aca="false">IFERROR(AVERAGEIFS(Register!$AK$5:$AK$304,Register!$B$5:$B$304,"&gt;="&amp;$B16,Register!$B$5:$B$304,"&lt;="&amp;EOMONTH($B16,0),Register!$AK$5:$AK$304,"&gt;=0"),0)</f>
        <v>0</v>
      </c>
      <c r="K16" s="83"/>
    </row>
    <row r="17" customFormat="false" ht="15" hidden="false" customHeight="false" outlineLevel="0" collapsed="false">
      <c r="B17" s="82" t="n">
        <f aca="false">EOMONTH($B16,0)+1</f>
        <v>45870</v>
      </c>
      <c r="C17" s="74" t="n">
        <f aca="false">COUNTIFS(Register!$B$5:$B$304,"&gt;="&amp;$B17,Register!$B$5:$B$304,"&lt;="&amp;EOMONTH($B17,0))</f>
        <v>0</v>
      </c>
      <c r="D17" s="74" t="n">
        <f aca="false">COUNTIFS(Register!$H$5:$H$304,"Complaint",Register!$P$5:$P$304,"Upheld",Register!$B$5:$B$304,"&gt;="&amp;$B17,Register!$B$5:$B$304,"&lt;="&amp;EOMONTH($B17,0))</f>
        <v>0</v>
      </c>
      <c r="E17" s="74" t="n">
        <f aca="false">COUNTIFS(Register!$H$5:$H$304,"Nonconformity (process)",Register!$B$5:$B$304,"&gt;="&amp;$B17,Register!$B$5:$B$304,"&lt;="&amp;EOMONTH($B17,0))</f>
        <v>0</v>
      </c>
      <c r="F17" s="60" t="n">
        <f aca="false">IFERROR(COUNTIFS(Register!$N$5:$N$304,"Yes",Register!$B$5:$B$304,"&gt;="&amp;$B17,Register!$B$5:$B$304,"&lt;="&amp;EOMONTH($B17,0))/$C17,0)</f>
        <v>0</v>
      </c>
      <c r="G17" s="74" t="n">
        <f aca="false">COUNTIFS(Register!$S$5:$S$304,"Yes",Register!$B$5:$B$304,"&gt;="&amp;$B17,Register!$B$5:$B$304,"&lt;="&amp;EOMONTH($B17,0))</f>
        <v>0</v>
      </c>
      <c r="H17" s="74" t="n">
        <f aca="false">COUNTIFS(Register!$AM$5:$AM$304,"OVERDUE",Register!$B$5:$B$304,"&gt;="&amp;$B17,Register!$B$5:$B$304,"&lt;="&amp;EOMONTH($B17,0))</f>
        <v>0</v>
      </c>
      <c r="I17" s="59" t="n">
        <f aca="false">SUMIFS(Register!$AB$5:$AB$304,Register!$B$5:$B$304,"&gt;="&amp;$B17,Register!$B$5:$B$304,"&lt;="&amp;EOMONTH($B17,0))</f>
        <v>0</v>
      </c>
      <c r="J17" s="58" t="n">
        <f aca="false">IFERROR(AVERAGEIFS(Register!$AK$5:$AK$304,Register!$B$5:$B$304,"&gt;="&amp;$B17,Register!$B$5:$B$304,"&lt;="&amp;EOMONTH($B17,0),Register!$AK$5:$AK$304,"&gt;=0"),0)</f>
        <v>0</v>
      </c>
      <c r="K17" s="83"/>
    </row>
    <row r="18" customFormat="false" ht="15" hidden="false" customHeight="false" outlineLevel="0" collapsed="false">
      <c r="B18" s="82" t="n">
        <f aca="false">EOMONTH($B17,0)+1</f>
        <v>45901</v>
      </c>
      <c r="C18" s="74" t="n">
        <f aca="false">COUNTIFS(Register!$B$5:$B$304,"&gt;="&amp;$B18,Register!$B$5:$B$304,"&lt;="&amp;EOMONTH($B18,0))</f>
        <v>0</v>
      </c>
      <c r="D18" s="74" t="n">
        <f aca="false">COUNTIFS(Register!$H$5:$H$304,"Complaint",Register!$P$5:$P$304,"Upheld",Register!$B$5:$B$304,"&gt;="&amp;$B18,Register!$B$5:$B$304,"&lt;="&amp;EOMONTH($B18,0))</f>
        <v>0</v>
      </c>
      <c r="E18" s="74" t="n">
        <f aca="false">COUNTIFS(Register!$H$5:$H$304,"Nonconformity (process)",Register!$B$5:$B$304,"&gt;="&amp;$B18,Register!$B$5:$B$304,"&lt;="&amp;EOMONTH($B18,0))</f>
        <v>0</v>
      </c>
      <c r="F18" s="60" t="n">
        <f aca="false">IFERROR(COUNTIFS(Register!$N$5:$N$304,"Yes",Register!$B$5:$B$304,"&gt;="&amp;$B18,Register!$B$5:$B$304,"&lt;="&amp;EOMONTH($B18,0))/$C18,0)</f>
        <v>0</v>
      </c>
      <c r="G18" s="74" t="n">
        <f aca="false">COUNTIFS(Register!$S$5:$S$304,"Yes",Register!$B$5:$B$304,"&gt;="&amp;$B18,Register!$B$5:$B$304,"&lt;="&amp;EOMONTH($B18,0))</f>
        <v>0</v>
      </c>
      <c r="H18" s="74" t="n">
        <f aca="false">COUNTIFS(Register!$AM$5:$AM$304,"OVERDUE",Register!$B$5:$B$304,"&gt;="&amp;$B18,Register!$B$5:$B$304,"&lt;="&amp;EOMONTH($B18,0))</f>
        <v>0</v>
      </c>
      <c r="I18" s="59" t="n">
        <f aca="false">SUMIFS(Register!$AB$5:$AB$304,Register!$B$5:$B$304,"&gt;="&amp;$B18,Register!$B$5:$B$304,"&lt;="&amp;EOMONTH($B18,0))</f>
        <v>0</v>
      </c>
      <c r="J18" s="58" t="n">
        <f aca="false">IFERROR(AVERAGEIFS(Register!$AK$5:$AK$304,Register!$B$5:$B$304,"&gt;="&amp;$B18,Register!$B$5:$B$304,"&lt;="&amp;EOMONTH($B18,0),Register!$AK$5:$AK$304,"&gt;=0"),0)</f>
        <v>0</v>
      </c>
      <c r="K18" s="83"/>
    </row>
    <row r="19" customFormat="false" ht="15" hidden="false" customHeight="false" outlineLevel="0" collapsed="false">
      <c r="B19" s="82" t="n">
        <f aca="false">EOMONTH($B18,0)+1</f>
        <v>45931</v>
      </c>
      <c r="C19" s="74" t="n">
        <f aca="false">COUNTIFS(Register!$B$5:$B$304,"&gt;="&amp;$B19,Register!$B$5:$B$304,"&lt;="&amp;EOMONTH($B19,0))</f>
        <v>0</v>
      </c>
      <c r="D19" s="74" t="n">
        <f aca="false">COUNTIFS(Register!$H$5:$H$304,"Complaint",Register!$P$5:$P$304,"Upheld",Register!$B$5:$B$304,"&gt;="&amp;$B19,Register!$B$5:$B$304,"&lt;="&amp;EOMONTH($B19,0))</f>
        <v>0</v>
      </c>
      <c r="E19" s="74" t="n">
        <f aca="false">COUNTIFS(Register!$H$5:$H$304,"Nonconformity (process)",Register!$B$5:$B$304,"&gt;="&amp;$B19,Register!$B$5:$B$304,"&lt;="&amp;EOMONTH($B19,0))</f>
        <v>0</v>
      </c>
      <c r="F19" s="60" t="n">
        <f aca="false">IFERROR(COUNTIFS(Register!$N$5:$N$304,"Yes",Register!$B$5:$B$304,"&gt;="&amp;$B19,Register!$B$5:$B$304,"&lt;="&amp;EOMONTH($B19,0))/$C19,0)</f>
        <v>0</v>
      </c>
      <c r="G19" s="74" t="n">
        <f aca="false">COUNTIFS(Register!$S$5:$S$304,"Yes",Register!$B$5:$B$304,"&gt;="&amp;$B19,Register!$B$5:$B$304,"&lt;="&amp;EOMONTH($B19,0))</f>
        <v>0</v>
      </c>
      <c r="H19" s="74" t="n">
        <f aca="false">COUNTIFS(Register!$AM$5:$AM$304,"OVERDUE",Register!$B$5:$B$304,"&gt;="&amp;$B19,Register!$B$5:$B$304,"&lt;="&amp;EOMONTH($B19,0))</f>
        <v>0</v>
      </c>
      <c r="I19" s="59" t="n">
        <f aca="false">SUMIFS(Register!$AB$5:$AB$304,Register!$B$5:$B$304,"&gt;="&amp;$B19,Register!$B$5:$B$304,"&lt;="&amp;EOMONTH($B19,0))</f>
        <v>0</v>
      </c>
      <c r="J19" s="58" t="n">
        <f aca="false">IFERROR(AVERAGEIFS(Register!$AK$5:$AK$304,Register!$B$5:$B$304,"&gt;="&amp;$B19,Register!$B$5:$B$304,"&lt;="&amp;EOMONTH($B19,0),Register!$AK$5:$AK$304,"&gt;=0"),0)</f>
        <v>0</v>
      </c>
      <c r="K19" s="83"/>
    </row>
    <row r="20" customFormat="false" ht="15" hidden="false" customHeight="false" outlineLevel="0" collapsed="false">
      <c r="B20" s="82" t="n">
        <f aca="false">EOMONTH($B19,0)+1</f>
        <v>45962</v>
      </c>
      <c r="C20" s="74" t="n">
        <f aca="false">COUNTIFS(Register!$B$5:$B$304,"&gt;="&amp;$B20,Register!$B$5:$B$304,"&lt;="&amp;EOMONTH($B20,0))</f>
        <v>0</v>
      </c>
      <c r="D20" s="74" t="n">
        <f aca="false">COUNTIFS(Register!$H$5:$H$304,"Complaint",Register!$P$5:$P$304,"Upheld",Register!$B$5:$B$304,"&gt;="&amp;$B20,Register!$B$5:$B$304,"&lt;="&amp;EOMONTH($B20,0))</f>
        <v>0</v>
      </c>
      <c r="E20" s="74" t="n">
        <f aca="false">COUNTIFS(Register!$H$5:$H$304,"Nonconformity (process)",Register!$B$5:$B$304,"&gt;="&amp;$B20,Register!$B$5:$B$304,"&lt;="&amp;EOMONTH($B20,0))</f>
        <v>0</v>
      </c>
      <c r="F20" s="60" t="n">
        <f aca="false">IFERROR(COUNTIFS(Register!$N$5:$N$304,"Yes",Register!$B$5:$B$304,"&gt;="&amp;$B20,Register!$B$5:$B$304,"&lt;="&amp;EOMONTH($B20,0))/$C20,0)</f>
        <v>0</v>
      </c>
      <c r="G20" s="74" t="n">
        <f aca="false">COUNTIFS(Register!$S$5:$S$304,"Yes",Register!$B$5:$B$304,"&gt;="&amp;$B20,Register!$B$5:$B$304,"&lt;="&amp;EOMONTH($B20,0))</f>
        <v>0</v>
      </c>
      <c r="H20" s="74" t="n">
        <f aca="false">COUNTIFS(Register!$AM$5:$AM$304,"OVERDUE",Register!$B$5:$B$304,"&gt;="&amp;$B20,Register!$B$5:$B$304,"&lt;="&amp;EOMONTH($B20,0))</f>
        <v>0</v>
      </c>
      <c r="I20" s="59" t="n">
        <f aca="false">SUMIFS(Register!$AB$5:$AB$304,Register!$B$5:$B$304,"&gt;="&amp;$B20,Register!$B$5:$B$304,"&lt;="&amp;EOMONTH($B20,0))</f>
        <v>0</v>
      </c>
      <c r="J20" s="58" t="n">
        <f aca="false">IFERROR(AVERAGEIFS(Register!$AK$5:$AK$304,Register!$B$5:$B$304,"&gt;="&amp;$B20,Register!$B$5:$B$304,"&lt;="&amp;EOMONTH($B20,0),Register!$AK$5:$AK$304,"&gt;=0"),0)</f>
        <v>0</v>
      </c>
      <c r="K20" s="83"/>
    </row>
    <row r="21" customFormat="false" ht="15" hidden="false" customHeight="false" outlineLevel="0" collapsed="false">
      <c r="B21" s="82" t="n">
        <f aca="false">EOMONTH($B20,0)+1</f>
        <v>45992</v>
      </c>
      <c r="C21" s="74" t="n">
        <f aca="false">COUNTIFS(Register!$B$5:$B$304,"&gt;="&amp;$B21,Register!$B$5:$B$304,"&lt;="&amp;EOMONTH($B21,0))</f>
        <v>0</v>
      </c>
      <c r="D21" s="74" t="n">
        <f aca="false">COUNTIFS(Register!$H$5:$H$304,"Complaint",Register!$P$5:$P$304,"Upheld",Register!$B$5:$B$304,"&gt;="&amp;$B21,Register!$B$5:$B$304,"&lt;="&amp;EOMONTH($B21,0))</f>
        <v>0</v>
      </c>
      <c r="E21" s="74" t="n">
        <f aca="false">COUNTIFS(Register!$H$5:$H$304,"Nonconformity (process)",Register!$B$5:$B$304,"&gt;="&amp;$B21,Register!$B$5:$B$304,"&lt;="&amp;EOMONTH($B21,0))</f>
        <v>0</v>
      </c>
      <c r="F21" s="60" t="n">
        <f aca="false">IFERROR(COUNTIFS(Register!$N$5:$N$304,"Yes",Register!$B$5:$B$304,"&gt;="&amp;$B21,Register!$B$5:$B$304,"&lt;="&amp;EOMONTH($B21,0))/$C21,0)</f>
        <v>0</v>
      </c>
      <c r="G21" s="74" t="n">
        <f aca="false">COUNTIFS(Register!$S$5:$S$304,"Yes",Register!$B$5:$B$304,"&gt;="&amp;$B21,Register!$B$5:$B$304,"&lt;="&amp;EOMONTH($B21,0))</f>
        <v>0</v>
      </c>
      <c r="H21" s="74" t="n">
        <f aca="false">COUNTIFS(Register!$AM$5:$AM$304,"OVERDUE",Register!$B$5:$B$304,"&gt;="&amp;$B21,Register!$B$5:$B$304,"&lt;="&amp;EOMONTH($B21,0))</f>
        <v>0</v>
      </c>
      <c r="I21" s="59" t="n">
        <f aca="false">SUMIFS(Register!$AB$5:$AB$304,Register!$B$5:$B$304,"&gt;="&amp;$B21,Register!$B$5:$B$304,"&lt;="&amp;EOMONTH($B21,0))</f>
        <v>0</v>
      </c>
      <c r="J21" s="58" t="n">
        <f aca="false">IFERROR(AVERAGEIFS(Register!$AK$5:$AK$304,Register!$B$5:$B$304,"&gt;="&amp;$B21,Register!$B$5:$B$304,"&lt;="&amp;EOMONTH($B21,0),Register!$AK$5:$AK$304,"&gt;=0"),0)</f>
        <v>0</v>
      </c>
      <c r="K21" s="83"/>
    </row>
    <row r="22" customFormat="false" ht="15" hidden="false" customHeight="false" outlineLevel="0" collapsed="false">
      <c r="B22" s="82" t="n">
        <f aca="false">EOMONTH($B21,0)+1</f>
        <v>46023</v>
      </c>
      <c r="C22" s="74" t="n">
        <f aca="false">COUNTIFS(Register!$B$5:$B$304,"&gt;="&amp;$B22,Register!$B$5:$B$304,"&lt;="&amp;EOMONTH($B22,0))</f>
        <v>0</v>
      </c>
      <c r="D22" s="74" t="n">
        <f aca="false">COUNTIFS(Register!$H$5:$H$304,"Complaint",Register!$P$5:$P$304,"Upheld",Register!$B$5:$B$304,"&gt;="&amp;$B22,Register!$B$5:$B$304,"&lt;="&amp;EOMONTH($B22,0))</f>
        <v>0</v>
      </c>
      <c r="E22" s="74" t="n">
        <f aca="false">COUNTIFS(Register!$H$5:$H$304,"Nonconformity (process)",Register!$B$5:$B$304,"&gt;="&amp;$B22,Register!$B$5:$B$304,"&lt;="&amp;EOMONTH($B22,0))</f>
        <v>0</v>
      </c>
      <c r="F22" s="60" t="n">
        <f aca="false">IFERROR(COUNTIFS(Register!$N$5:$N$304,"Yes",Register!$B$5:$B$304,"&gt;="&amp;$B22,Register!$B$5:$B$304,"&lt;="&amp;EOMONTH($B22,0))/$C22,0)</f>
        <v>0</v>
      </c>
      <c r="G22" s="74" t="n">
        <f aca="false">COUNTIFS(Register!$S$5:$S$304,"Yes",Register!$B$5:$B$304,"&gt;="&amp;$B22,Register!$B$5:$B$304,"&lt;="&amp;EOMONTH($B22,0))</f>
        <v>0</v>
      </c>
      <c r="H22" s="74" t="n">
        <f aca="false">COUNTIFS(Register!$AM$5:$AM$304,"OVERDUE",Register!$B$5:$B$304,"&gt;="&amp;$B22,Register!$B$5:$B$304,"&lt;="&amp;EOMONTH($B22,0))</f>
        <v>0</v>
      </c>
      <c r="I22" s="59" t="n">
        <f aca="false">SUMIFS(Register!$AB$5:$AB$304,Register!$B$5:$B$304,"&gt;="&amp;$B22,Register!$B$5:$B$304,"&lt;="&amp;EOMONTH($B22,0))</f>
        <v>0</v>
      </c>
      <c r="J22" s="58" t="n">
        <f aca="false">IFERROR(AVERAGEIFS(Register!$AK$5:$AK$304,Register!$B$5:$B$304,"&gt;="&amp;$B22,Register!$B$5:$B$304,"&lt;="&amp;EOMONTH($B22,0),Register!$AK$5:$AK$304,"&gt;=0"),0)</f>
        <v>0</v>
      </c>
      <c r="K22" s="83"/>
    </row>
    <row r="23" customFormat="false" ht="15" hidden="false" customHeight="false" outlineLevel="0" collapsed="false">
      <c r="B23" s="82" t="n">
        <f aca="false">EOMONTH($B22,0)+1</f>
        <v>46054</v>
      </c>
      <c r="C23" s="74" t="n">
        <f aca="false">COUNTIFS(Register!$B$5:$B$304,"&gt;="&amp;$B23,Register!$B$5:$B$304,"&lt;="&amp;EOMONTH($B23,0))</f>
        <v>0</v>
      </c>
      <c r="D23" s="74" t="n">
        <f aca="false">COUNTIFS(Register!$H$5:$H$304,"Complaint",Register!$P$5:$P$304,"Upheld",Register!$B$5:$B$304,"&gt;="&amp;$B23,Register!$B$5:$B$304,"&lt;="&amp;EOMONTH($B23,0))</f>
        <v>0</v>
      </c>
      <c r="E23" s="74" t="n">
        <f aca="false">COUNTIFS(Register!$H$5:$H$304,"Nonconformity (process)",Register!$B$5:$B$304,"&gt;="&amp;$B23,Register!$B$5:$B$304,"&lt;="&amp;EOMONTH($B23,0))</f>
        <v>0</v>
      </c>
      <c r="F23" s="60" t="n">
        <f aca="false">IFERROR(COUNTIFS(Register!$N$5:$N$304,"Yes",Register!$B$5:$B$304,"&gt;="&amp;$B23,Register!$B$5:$B$304,"&lt;="&amp;EOMONTH($B23,0))/$C23,0)</f>
        <v>0</v>
      </c>
      <c r="G23" s="74" t="n">
        <f aca="false">COUNTIFS(Register!$S$5:$S$304,"Yes",Register!$B$5:$B$304,"&gt;="&amp;$B23,Register!$B$5:$B$304,"&lt;="&amp;EOMONTH($B23,0))</f>
        <v>0</v>
      </c>
      <c r="H23" s="74" t="n">
        <f aca="false">COUNTIFS(Register!$AM$5:$AM$304,"OVERDUE",Register!$B$5:$B$304,"&gt;="&amp;$B23,Register!$B$5:$B$304,"&lt;="&amp;EOMONTH($B23,0))</f>
        <v>0</v>
      </c>
      <c r="I23" s="59" t="n">
        <f aca="false">SUMIFS(Register!$AB$5:$AB$304,Register!$B$5:$B$304,"&gt;="&amp;$B23,Register!$B$5:$B$304,"&lt;="&amp;EOMONTH($B23,0))</f>
        <v>0</v>
      </c>
      <c r="J23" s="58" t="n">
        <f aca="false">IFERROR(AVERAGEIFS(Register!$AK$5:$AK$304,Register!$B$5:$B$304,"&gt;="&amp;$B23,Register!$B$5:$B$304,"&lt;="&amp;EOMONTH($B23,0),Register!$AK$5:$AK$304,"&gt;=0"),0)</f>
        <v>0</v>
      </c>
      <c r="K23" s="83"/>
    </row>
    <row r="24" customFormat="false" ht="15" hidden="false" customHeight="false" outlineLevel="0" collapsed="false">
      <c r="B24" s="82" t="n">
        <f aca="false">EOMONTH($B23,0)+1</f>
        <v>46082</v>
      </c>
      <c r="C24" s="74" t="n">
        <f aca="false">COUNTIFS(Register!$B$5:$B$304,"&gt;="&amp;$B24,Register!$B$5:$B$304,"&lt;="&amp;EOMONTH($B24,0))</f>
        <v>0</v>
      </c>
      <c r="D24" s="74" t="n">
        <f aca="false">COUNTIFS(Register!$H$5:$H$304,"Complaint",Register!$P$5:$P$304,"Upheld",Register!$B$5:$B$304,"&gt;="&amp;$B24,Register!$B$5:$B$304,"&lt;="&amp;EOMONTH($B24,0))</f>
        <v>0</v>
      </c>
      <c r="E24" s="74" t="n">
        <f aca="false">COUNTIFS(Register!$H$5:$H$304,"Nonconformity (process)",Register!$B$5:$B$304,"&gt;="&amp;$B24,Register!$B$5:$B$304,"&lt;="&amp;EOMONTH($B24,0))</f>
        <v>0</v>
      </c>
      <c r="F24" s="60" t="n">
        <f aca="false">IFERROR(COUNTIFS(Register!$N$5:$N$304,"Yes",Register!$B$5:$B$304,"&gt;="&amp;$B24,Register!$B$5:$B$304,"&lt;="&amp;EOMONTH($B24,0))/$C24,0)</f>
        <v>0</v>
      </c>
      <c r="G24" s="74" t="n">
        <f aca="false">COUNTIFS(Register!$S$5:$S$304,"Yes",Register!$B$5:$B$304,"&gt;="&amp;$B24,Register!$B$5:$B$304,"&lt;="&amp;EOMONTH($B24,0))</f>
        <v>0</v>
      </c>
      <c r="H24" s="74" t="n">
        <f aca="false">COUNTIFS(Register!$AM$5:$AM$304,"OVERDUE",Register!$B$5:$B$304,"&gt;="&amp;$B24,Register!$B$5:$B$304,"&lt;="&amp;EOMONTH($B24,0))</f>
        <v>0</v>
      </c>
      <c r="I24" s="59" t="n">
        <f aca="false">SUMIFS(Register!$AB$5:$AB$304,Register!$B$5:$B$304,"&gt;="&amp;$B24,Register!$B$5:$B$304,"&lt;="&amp;EOMONTH($B24,0))</f>
        <v>0</v>
      </c>
      <c r="J24" s="58" t="n">
        <f aca="false">IFERROR(AVERAGEIFS(Register!$AK$5:$AK$304,Register!$B$5:$B$304,"&gt;="&amp;$B24,Register!$B$5:$B$304,"&lt;="&amp;EOMONTH($B24,0),Register!$AK$5:$AK$304,"&gt;=0"),0)</f>
        <v>0</v>
      </c>
      <c r="K24" s="83"/>
    </row>
    <row r="25" customFormat="false" ht="15" hidden="false" customHeight="false" outlineLevel="0" collapsed="false">
      <c r="B25" s="82" t="n">
        <f aca="false">EOMONTH($B24,0)+1</f>
        <v>46113</v>
      </c>
      <c r="C25" s="74" t="n">
        <f aca="false">COUNTIFS(Register!$B$5:$B$304,"&gt;="&amp;$B25,Register!$B$5:$B$304,"&lt;="&amp;EOMONTH($B25,0))</f>
        <v>0</v>
      </c>
      <c r="D25" s="74" t="n">
        <f aca="false">COUNTIFS(Register!$H$5:$H$304,"Complaint",Register!$P$5:$P$304,"Upheld",Register!$B$5:$B$304,"&gt;="&amp;$B25,Register!$B$5:$B$304,"&lt;="&amp;EOMONTH($B25,0))</f>
        <v>0</v>
      </c>
      <c r="E25" s="74" t="n">
        <f aca="false">COUNTIFS(Register!$H$5:$H$304,"Nonconformity (process)",Register!$B$5:$B$304,"&gt;="&amp;$B25,Register!$B$5:$B$304,"&lt;="&amp;EOMONTH($B25,0))</f>
        <v>0</v>
      </c>
      <c r="F25" s="60" t="n">
        <f aca="false">IFERROR(COUNTIFS(Register!$N$5:$N$304,"Yes",Register!$B$5:$B$304,"&gt;="&amp;$B25,Register!$B$5:$B$304,"&lt;="&amp;EOMONTH($B25,0))/$C25,0)</f>
        <v>0</v>
      </c>
      <c r="G25" s="74" t="n">
        <f aca="false">COUNTIFS(Register!$S$5:$S$304,"Yes",Register!$B$5:$B$304,"&gt;="&amp;$B25,Register!$B$5:$B$304,"&lt;="&amp;EOMONTH($B25,0))</f>
        <v>0</v>
      </c>
      <c r="H25" s="74" t="n">
        <f aca="false">COUNTIFS(Register!$AM$5:$AM$304,"OVERDUE",Register!$B$5:$B$304,"&gt;="&amp;$B25,Register!$B$5:$B$304,"&lt;="&amp;EOMONTH($B25,0))</f>
        <v>0</v>
      </c>
      <c r="I25" s="59" t="n">
        <f aca="false">SUMIFS(Register!$AB$5:$AB$304,Register!$B$5:$B$304,"&gt;="&amp;$B25,Register!$B$5:$B$304,"&lt;="&amp;EOMONTH($B25,0))</f>
        <v>0</v>
      </c>
      <c r="J25" s="58" t="n">
        <f aca="false">IFERROR(AVERAGEIFS(Register!$AK$5:$AK$304,Register!$B$5:$B$304,"&gt;="&amp;$B25,Register!$B$5:$B$304,"&lt;="&amp;EOMONTH($B25,0),Register!$AK$5:$AK$304,"&gt;=0"),0)</f>
        <v>0</v>
      </c>
      <c r="K25" s="83"/>
    </row>
    <row r="26" customFormat="false" ht="15" hidden="false" customHeight="false" outlineLevel="0" collapsed="false">
      <c r="B26" s="82" t="n">
        <f aca="false">EOMONTH($B25,0)+1</f>
        <v>46143</v>
      </c>
      <c r="C26" s="74" t="n">
        <f aca="false">COUNTIFS(Register!$B$5:$B$304,"&gt;="&amp;$B26,Register!$B$5:$B$304,"&lt;="&amp;EOMONTH($B26,0))</f>
        <v>3</v>
      </c>
      <c r="D26" s="74" t="n">
        <f aca="false">COUNTIFS(Register!$H$5:$H$304,"Complaint",Register!$P$5:$P$304,"Upheld",Register!$B$5:$B$304,"&gt;="&amp;$B26,Register!$B$5:$B$304,"&lt;="&amp;EOMONTH($B26,0))</f>
        <v>1</v>
      </c>
      <c r="E26" s="74" t="n">
        <f aca="false">COUNTIFS(Register!$H$5:$H$304,"Nonconformity (process)",Register!$B$5:$B$304,"&gt;="&amp;$B26,Register!$B$5:$B$304,"&lt;="&amp;EOMONTH($B26,0))</f>
        <v>1</v>
      </c>
      <c r="F26" s="60" t="n">
        <f aca="false">IFERROR(COUNTIFS(Register!$N$5:$N$304,"Yes",Register!$B$5:$B$304,"&gt;="&amp;$B26,Register!$B$5:$B$304,"&lt;="&amp;EOMONTH($B26,0))/$C26,0)</f>
        <v>0.333333333333333</v>
      </c>
      <c r="G26" s="74" t="n">
        <f aca="false">COUNTIFS(Register!$S$5:$S$304,"Yes",Register!$B$5:$B$304,"&gt;="&amp;$B26,Register!$B$5:$B$304,"&lt;="&amp;EOMONTH($B26,0))</f>
        <v>2</v>
      </c>
      <c r="H26" s="74" t="n">
        <f aca="false">COUNTIFS(Register!$AM$5:$AM$304,"OVERDUE",Register!$B$5:$B$304,"&gt;="&amp;$B26,Register!$B$5:$B$304,"&lt;="&amp;EOMONTH($B26,0))</f>
        <v>0</v>
      </c>
      <c r="I26" s="59" t="n">
        <f aca="false">SUMIFS(Register!$AB$5:$AB$304,Register!$B$5:$B$304,"&gt;="&amp;$B26,Register!$B$5:$B$304,"&lt;="&amp;EOMONTH($B26,0))</f>
        <v>19446</v>
      </c>
      <c r="J26" s="58" t="n">
        <f aca="false">IFERROR(AVERAGEIFS(Register!$AK$5:$AK$304,Register!$B$5:$B$304,"&gt;="&amp;$B26,Register!$B$5:$B$304,"&lt;="&amp;EOMONTH($B26,0),Register!$AK$5:$AK$304,"&gt;=0"),0)</f>
        <v>5.33333333333333</v>
      </c>
      <c r="K26" s="83"/>
    </row>
    <row r="27" customFormat="false" ht="15" hidden="false" customHeight="false" outlineLevel="0" collapsed="false">
      <c r="B27" s="82" t="n">
        <f aca="false">EOMONTH($B26,0)+1</f>
        <v>46174</v>
      </c>
      <c r="C27" s="74" t="n">
        <f aca="false">COUNTIFS(Register!$B$5:$B$304,"&gt;="&amp;$B27,Register!$B$5:$B$304,"&lt;="&amp;EOMONTH($B27,0))</f>
        <v>6</v>
      </c>
      <c r="D27" s="74" t="n">
        <f aca="false">COUNTIFS(Register!$H$5:$H$304,"Complaint",Register!$P$5:$P$304,"Upheld",Register!$B$5:$B$304,"&gt;="&amp;$B27,Register!$B$5:$B$304,"&lt;="&amp;EOMONTH($B27,0))</f>
        <v>3</v>
      </c>
      <c r="E27" s="74" t="n">
        <f aca="false">COUNTIFS(Register!$H$5:$H$304,"Nonconformity (process)",Register!$B$5:$B$304,"&gt;="&amp;$B27,Register!$B$5:$B$304,"&lt;="&amp;EOMONTH($B27,0))</f>
        <v>1</v>
      </c>
      <c r="F27" s="60" t="n">
        <f aca="false">IFERROR(COUNTIFS(Register!$N$5:$N$304,"Yes",Register!$B$5:$B$304,"&gt;="&amp;$B27,Register!$B$5:$B$304,"&lt;="&amp;EOMONTH($B27,0))/$C27,0)</f>
        <v>0.333333333333333</v>
      </c>
      <c r="G27" s="74" t="n">
        <f aca="false">COUNTIFS(Register!$S$5:$S$304,"Yes",Register!$B$5:$B$304,"&gt;="&amp;$B27,Register!$B$5:$B$304,"&lt;="&amp;EOMONTH($B27,0))</f>
        <v>3</v>
      </c>
      <c r="H27" s="74" t="n">
        <f aca="false">COUNTIFS(Register!$AM$5:$AM$304,"OVERDUE",Register!$B$5:$B$304,"&gt;="&amp;$B27,Register!$B$5:$B$304,"&lt;="&amp;EOMONTH($B27,0))</f>
        <v>2</v>
      </c>
      <c r="I27" s="59" t="n">
        <f aca="false">SUMIFS(Register!$AB$5:$AB$304,Register!$B$5:$B$304,"&gt;="&amp;$B27,Register!$B$5:$B$304,"&lt;="&amp;EOMONTH($B27,0))</f>
        <v>33578</v>
      </c>
      <c r="J27" s="58" t="n">
        <f aca="false">IFERROR(AVERAGEIFS(Register!$AK$5:$AK$304,Register!$B$5:$B$304,"&gt;="&amp;$B27,Register!$B$5:$B$304,"&lt;="&amp;EOMONTH($B27,0),Register!$AK$5:$AK$304,"&gt;=0"),0)</f>
        <v>5.75</v>
      </c>
      <c r="K27" s="83"/>
    </row>
    <row r="28" customFormat="false" ht="15" hidden="false" customHeight="false" outlineLevel="0" collapsed="false">
      <c r="B28" s="82" t="n">
        <f aca="false">EOMONTH($B27,0)+1</f>
        <v>46204</v>
      </c>
      <c r="C28" s="74" t="n">
        <f aca="false">COUNTIFS(Register!$B$5:$B$304,"&gt;="&amp;$B28,Register!$B$5:$B$304,"&lt;="&amp;EOMONTH($B28,0))</f>
        <v>3</v>
      </c>
      <c r="D28" s="74" t="n">
        <f aca="false">COUNTIFS(Register!$H$5:$H$304,"Complaint",Register!$P$5:$P$304,"Upheld",Register!$B$5:$B$304,"&gt;="&amp;$B28,Register!$B$5:$B$304,"&lt;="&amp;EOMONTH($B28,0))</f>
        <v>1</v>
      </c>
      <c r="E28" s="74" t="n">
        <f aca="false">COUNTIFS(Register!$H$5:$H$304,"Nonconformity (process)",Register!$B$5:$B$304,"&gt;="&amp;$B28,Register!$B$5:$B$304,"&lt;="&amp;EOMONTH($B28,0))</f>
        <v>1</v>
      </c>
      <c r="F28" s="60" t="n">
        <f aca="false">IFERROR(COUNTIFS(Register!$N$5:$N$304,"Yes",Register!$B$5:$B$304,"&gt;="&amp;$B28,Register!$B$5:$B$304,"&lt;="&amp;EOMONTH($B28,0))/$C28,0)</f>
        <v>0.333333333333333</v>
      </c>
      <c r="G28" s="74" t="n">
        <f aca="false">COUNTIFS(Register!$S$5:$S$304,"Yes",Register!$B$5:$B$304,"&gt;="&amp;$B28,Register!$B$5:$B$304,"&lt;="&amp;EOMONTH($B28,0))</f>
        <v>1</v>
      </c>
      <c r="H28" s="74" t="n">
        <f aca="false">COUNTIFS(Register!$AM$5:$AM$304,"OVERDUE",Register!$B$5:$B$304,"&gt;="&amp;$B28,Register!$B$5:$B$304,"&lt;="&amp;EOMONTH($B28,0))</f>
        <v>2</v>
      </c>
      <c r="I28" s="59" t="n">
        <f aca="false">SUMIFS(Register!$AB$5:$AB$304,Register!$B$5:$B$304,"&gt;="&amp;$B28,Register!$B$5:$B$304,"&lt;="&amp;EOMONTH($B28,0))</f>
        <v>2570</v>
      </c>
      <c r="J28" s="58" t="n">
        <f aca="false">IFERROR(AVERAGEIFS(Register!$AK$5:$AK$304,Register!$B$5:$B$304,"&gt;="&amp;$B28,Register!$B$5:$B$304,"&lt;="&amp;EOMONTH($B28,0),Register!$AK$5:$AK$304,"&gt;=0"),0)</f>
        <v>0</v>
      </c>
      <c r="K28" s="83"/>
    </row>
    <row r="30" customFormat="false" ht="15" hidden="false" customHeight="false" outlineLevel="0" collapsed="false">
      <c r="B30" s="84" t="s">
        <v>398</v>
      </c>
      <c r="C30" s="84"/>
      <c r="D30" s="84"/>
      <c r="E30" s="84"/>
      <c r="F30" s="84"/>
      <c r="G30" s="84"/>
      <c r="H30" s="84"/>
      <c r="I30" s="84"/>
      <c r="J30" s="84"/>
      <c r="K30" s="84"/>
    </row>
    <row r="31" customFormat="false" ht="15" hidden="false" customHeight="false" outlineLevel="0" collapsed="false">
      <c r="B31" s="85" t="s">
        <v>347</v>
      </c>
      <c r="C31" s="85" t="s">
        <v>399</v>
      </c>
      <c r="D31" s="85" t="s">
        <v>400</v>
      </c>
      <c r="E31" s="85" t="s">
        <v>401</v>
      </c>
      <c r="F31" s="85" t="s">
        <v>402</v>
      </c>
    </row>
    <row r="32" customFormat="false" ht="15" hidden="false" customHeight="false" outlineLevel="0" collapsed="false">
      <c r="B32" s="86" t="s">
        <v>362</v>
      </c>
      <c r="C32" s="87" t="n">
        <f aca="false">$C$27</f>
        <v>6</v>
      </c>
      <c r="D32" s="87" t="n">
        <f aca="false">$C$26</f>
        <v>3</v>
      </c>
      <c r="E32" s="87" t="n">
        <f aca="false">C32-D32</f>
        <v>3</v>
      </c>
      <c r="F32" s="88" t="str">
        <f aca="false">IF(E32=0,"—",IF(E32&gt;0,"WORSENING","improving"))</f>
        <v>WORSENING</v>
      </c>
    </row>
    <row r="33" customFormat="false" ht="15" hidden="false" customHeight="false" outlineLevel="0" collapsed="false">
      <c r="B33" s="86" t="s">
        <v>403</v>
      </c>
      <c r="C33" s="87" t="n">
        <f aca="false">$D$27</f>
        <v>3</v>
      </c>
      <c r="D33" s="87" t="n">
        <f aca="false">$D$26</f>
        <v>1</v>
      </c>
      <c r="E33" s="87" t="n">
        <f aca="false">C33-D33</f>
        <v>2</v>
      </c>
      <c r="F33" s="88" t="str">
        <f aca="false">IF(E33=0,"—",IF(E33&gt;0,"WORSENING","improving"))</f>
        <v>WORSENING</v>
      </c>
    </row>
    <row r="34" customFormat="false" ht="15" hidden="false" customHeight="false" outlineLevel="0" collapsed="false">
      <c r="B34" s="86" t="s">
        <v>350</v>
      </c>
      <c r="C34" s="87" t="n">
        <f aca="false">$E$27</f>
        <v>1</v>
      </c>
      <c r="D34" s="87" t="n">
        <f aca="false">$E$26</f>
        <v>1</v>
      </c>
      <c r="E34" s="87" t="n">
        <f aca="false">C34-D34</f>
        <v>0</v>
      </c>
      <c r="F34" s="88" t="str">
        <f aca="false">IF(E34=0,"—",IF(E34&gt;0,"WORSENING","improving"))</f>
        <v>—</v>
      </c>
    </row>
    <row r="35" customFormat="false" ht="15" hidden="false" customHeight="false" outlineLevel="0" collapsed="false">
      <c r="B35" s="86" t="s">
        <v>352</v>
      </c>
      <c r="C35" s="89" t="n">
        <f aca="false">$F$27</f>
        <v>0.333333333333333</v>
      </c>
      <c r="D35" s="89" t="n">
        <f aca="false">$F$26</f>
        <v>0.333333333333333</v>
      </c>
      <c r="E35" s="89" t="n">
        <f aca="false">C35-D35</f>
        <v>0</v>
      </c>
      <c r="F35" s="88" t="str">
        <f aca="false">IF(E35=0,"—",IF(E35&lt;0,"WORSENING","improving"))</f>
        <v>—</v>
      </c>
    </row>
    <row r="36" customFormat="false" ht="15" hidden="false" customHeight="false" outlineLevel="0" collapsed="false">
      <c r="B36" s="86" t="s">
        <v>356</v>
      </c>
      <c r="C36" s="87" t="n">
        <f aca="false">$G$27</f>
        <v>3</v>
      </c>
      <c r="D36" s="87" t="n">
        <f aca="false">$G$26</f>
        <v>2</v>
      </c>
      <c r="E36" s="87" t="n">
        <f aca="false">C36-D36</f>
        <v>1</v>
      </c>
      <c r="F36" s="88" t="str">
        <f aca="false">IF(E36=0,"—",IF(E36&gt;0,"WORSENING","improving"))</f>
        <v>WORSENING</v>
      </c>
    </row>
    <row r="37" customFormat="false" ht="15" hidden="false" customHeight="false" outlineLevel="0" collapsed="false">
      <c r="B37" s="86" t="s">
        <v>365</v>
      </c>
      <c r="C37" s="78" t="n">
        <f aca="false">$I$27</f>
        <v>33578</v>
      </c>
      <c r="D37" s="78" t="n">
        <f aca="false">$I$26</f>
        <v>19446</v>
      </c>
      <c r="E37" s="78" t="n">
        <f aca="false">C37-D37</f>
        <v>14132</v>
      </c>
      <c r="F37" s="88" t="str">
        <f aca="false">IF(E37=0,"—",IF(E37&gt;0,"WORSENING","improving"))</f>
        <v>WORSENING</v>
      </c>
    </row>
  </sheetData>
  <sheetProtection sheet="true" formatColumns="false" formatRows="false" sort="false" autoFilter="false"/>
  <mergeCells count="3">
    <mergeCell ref="B1:K1"/>
    <mergeCell ref="B2:K2"/>
    <mergeCell ref="B30:K30"/>
  </mergeCells>
  <conditionalFormatting sqref="F5:F28">
    <cfRule type="cellIs" priority="2" operator="lessThan" aboveAverage="0" equalAverage="0" bottom="0" percent="0" rank="0" text="" dxfId="26">
      <formula>Settings!$C$24</formula>
    </cfRule>
  </conditionalFormatting>
  <conditionalFormatting sqref="H5:H28">
    <cfRule type="cellIs" priority="3" operator="greaterThan" aboveAverage="0" equalAverage="0" bottom="0" percent="0" rank="0" text="" dxfId="20">
      <formula>0</formula>
    </cfRule>
  </conditionalFormatting>
  <conditionalFormatting sqref="F32">
    <cfRule type="cellIs" priority="4" operator="equal" aboveAverage="0" equalAverage="0" bottom="0" percent="0" rank="0" text="" dxfId="20">
      <formula>"WORSENING"</formula>
    </cfRule>
    <cfRule type="cellIs" priority="5" operator="equal" aboveAverage="0" equalAverage="0" bottom="0" percent="0" rank="0" text="" dxfId="27">
      <formula>"improving"</formula>
    </cfRule>
  </conditionalFormatting>
  <conditionalFormatting sqref="F33">
    <cfRule type="cellIs" priority="6" operator="equal" aboveAverage="0" equalAverage="0" bottom="0" percent="0" rank="0" text="" dxfId="20">
      <formula>"WORSENING"</formula>
    </cfRule>
    <cfRule type="cellIs" priority="7" operator="equal" aboveAverage="0" equalAverage="0" bottom="0" percent="0" rank="0" text="" dxfId="27">
      <formula>"improving"</formula>
    </cfRule>
  </conditionalFormatting>
  <conditionalFormatting sqref="F34">
    <cfRule type="cellIs" priority="8" operator="equal" aboveAverage="0" equalAverage="0" bottom="0" percent="0" rank="0" text="" dxfId="20">
      <formula>"WORSENING"</formula>
    </cfRule>
    <cfRule type="cellIs" priority="9" operator="equal" aboveAverage="0" equalAverage="0" bottom="0" percent="0" rank="0" text="" dxfId="27">
      <formula>"improving"</formula>
    </cfRule>
  </conditionalFormatting>
  <conditionalFormatting sqref="F35">
    <cfRule type="cellIs" priority="10" operator="equal" aboveAverage="0" equalAverage="0" bottom="0" percent="0" rank="0" text="" dxfId="20">
      <formula>"WORSENING"</formula>
    </cfRule>
    <cfRule type="cellIs" priority="11" operator="equal" aboveAverage="0" equalAverage="0" bottom="0" percent="0" rank="0" text="" dxfId="27">
      <formula>"improving"</formula>
    </cfRule>
  </conditionalFormatting>
  <conditionalFormatting sqref="F36">
    <cfRule type="cellIs" priority="12" operator="equal" aboveAverage="0" equalAverage="0" bottom="0" percent="0" rank="0" text="" dxfId="20">
      <formula>"WORSENING"</formula>
    </cfRule>
    <cfRule type="cellIs" priority="13" operator="equal" aboveAverage="0" equalAverage="0" bottom="0" percent="0" rank="0" text="" dxfId="27">
      <formula>"improving"</formula>
    </cfRule>
  </conditionalFormatting>
  <conditionalFormatting sqref="F37">
    <cfRule type="cellIs" priority="14" operator="equal" aboveAverage="0" equalAverage="0" bottom="0" percent="0" rank="0" text="" dxfId="20">
      <formula>"WORSENING"</formula>
    </cfRule>
    <cfRule type="cellIs" priority="15" operator="equal" aboveAverage="0" equalAverage="0" bottom="0" percent="0" rank="0" text="" dxfId="27">
      <formula>"improving"</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4" min="3" style="0" width="24"/>
    <col collapsed="false" customWidth="true" hidden="false" outlineLevel="0" max="5" min="5" style="0" width="20"/>
    <col collapsed="false" customWidth="true" hidden="false" outlineLevel="0" max="6" min="6" style="0" width="14"/>
    <col collapsed="false" customWidth="true" hidden="false" outlineLevel="0" max="7" min="7" style="0" width="13"/>
    <col collapsed="false" customWidth="true" hidden="false" outlineLevel="0" max="8" min="8" style="0" width="34"/>
  </cols>
  <sheetData>
    <row r="1" customFormat="false" ht="30" hidden="false" customHeight="true" outlineLevel="0" collapsed="false">
      <c r="A1" s="43" t="s">
        <v>404</v>
      </c>
      <c r="B1" s="43"/>
      <c r="C1" s="43"/>
      <c r="D1" s="43"/>
      <c r="E1" s="43"/>
      <c r="F1" s="43"/>
      <c r="G1" s="43"/>
      <c r="H1" s="43"/>
    </row>
    <row r="2" customFormat="false" ht="24" hidden="false" customHeight="true" outlineLevel="0" collapsed="false">
      <c r="A2" s="40" t="s">
        <v>405</v>
      </c>
      <c r="B2" s="40"/>
      <c r="C2" s="40"/>
      <c r="D2" s="40"/>
      <c r="E2" s="40"/>
      <c r="F2" s="40"/>
      <c r="G2" s="40"/>
      <c r="H2" s="40"/>
    </row>
    <row r="3" customFormat="false" ht="33.75" hidden="false" customHeight="true" outlineLevel="0" collapsed="false">
      <c r="A3" s="29" t="s">
        <v>406</v>
      </c>
      <c r="B3" s="29" t="s">
        <v>69</v>
      </c>
      <c r="C3" s="29" t="s">
        <v>407</v>
      </c>
      <c r="D3" s="29" t="s">
        <v>408</v>
      </c>
      <c r="E3" s="29" t="s">
        <v>409</v>
      </c>
      <c r="F3" s="29" t="s">
        <v>410</v>
      </c>
      <c r="G3" s="29" t="s">
        <v>411</v>
      </c>
      <c r="H3" s="29" t="s">
        <v>251</v>
      </c>
    </row>
    <row r="4" customFormat="false" ht="25.5" hidden="false" customHeight="true" outlineLevel="0" collapsed="false">
      <c r="A4" s="90" t="s">
        <v>412</v>
      </c>
      <c r="B4" s="90" t="s">
        <v>86</v>
      </c>
      <c r="C4" s="90" t="s">
        <v>413</v>
      </c>
      <c r="D4" s="90" t="s">
        <v>414</v>
      </c>
      <c r="E4" s="90" t="s">
        <v>415</v>
      </c>
      <c r="F4" s="90" t="s">
        <v>416</v>
      </c>
      <c r="G4" s="90" t="s">
        <v>417</v>
      </c>
      <c r="H4" s="90"/>
    </row>
    <row r="5" customFormat="false" ht="25.5" hidden="false" customHeight="true" outlineLevel="0" collapsed="false">
      <c r="A5" s="90" t="s">
        <v>418</v>
      </c>
      <c r="B5" s="90" t="s">
        <v>86</v>
      </c>
      <c r="C5" s="90" t="s">
        <v>419</v>
      </c>
      <c r="D5" s="90" t="s">
        <v>420</v>
      </c>
      <c r="E5" s="90" t="s">
        <v>421</v>
      </c>
      <c r="F5" s="90" t="s">
        <v>422</v>
      </c>
      <c r="G5" s="90" t="s">
        <v>423</v>
      </c>
      <c r="H5" s="90" t="s">
        <v>424</v>
      </c>
    </row>
    <row r="6" customFormat="false" ht="25.5" hidden="false" customHeight="true" outlineLevel="0" collapsed="false">
      <c r="A6" s="90" t="s">
        <v>425</v>
      </c>
      <c r="B6" s="90" t="s">
        <v>86</v>
      </c>
      <c r="C6" s="90" t="s">
        <v>426</v>
      </c>
      <c r="D6" s="90" t="s">
        <v>427</v>
      </c>
      <c r="E6" s="90" t="s">
        <v>415</v>
      </c>
      <c r="F6" s="90" t="s">
        <v>428</v>
      </c>
      <c r="G6" s="90" t="s">
        <v>429</v>
      </c>
      <c r="H6" s="90"/>
    </row>
    <row r="7" customFormat="false" ht="25.5" hidden="false" customHeight="true" outlineLevel="0" collapsed="false">
      <c r="A7" s="90" t="s">
        <v>430</v>
      </c>
      <c r="B7" s="90" t="s">
        <v>101</v>
      </c>
      <c r="C7" s="90" t="s">
        <v>419</v>
      </c>
      <c r="D7" s="90" t="s">
        <v>420</v>
      </c>
      <c r="E7" s="90" t="s">
        <v>431</v>
      </c>
      <c r="F7" s="90" t="s">
        <v>415</v>
      </c>
      <c r="G7" s="90" t="s">
        <v>432</v>
      </c>
      <c r="H7" s="90" t="s">
        <v>433</v>
      </c>
    </row>
    <row r="8" customFormat="false" ht="25.5" hidden="false" customHeight="true" outlineLevel="0" collapsed="false">
      <c r="A8" s="90" t="s">
        <v>434</v>
      </c>
      <c r="B8" s="90" t="s">
        <v>101</v>
      </c>
      <c r="C8" s="90" t="s">
        <v>435</v>
      </c>
      <c r="D8" s="90" t="s">
        <v>436</v>
      </c>
      <c r="E8" s="90" t="s">
        <v>415</v>
      </c>
      <c r="F8" s="90" t="s">
        <v>415</v>
      </c>
      <c r="G8" s="90" t="s">
        <v>429</v>
      </c>
      <c r="H8" s="90" t="s">
        <v>437</v>
      </c>
    </row>
    <row r="9" customFormat="false" ht="25.5" hidden="false" customHeight="true" outlineLevel="0" collapsed="false">
      <c r="A9" s="90" t="s">
        <v>438</v>
      </c>
      <c r="B9" s="90" t="s">
        <v>86</v>
      </c>
      <c r="C9" s="90" t="s">
        <v>439</v>
      </c>
      <c r="D9" s="90" t="s">
        <v>440</v>
      </c>
      <c r="E9" s="90" t="s">
        <v>415</v>
      </c>
      <c r="F9" s="90" t="s">
        <v>415</v>
      </c>
      <c r="G9" s="90" t="s">
        <v>441</v>
      </c>
      <c r="H9" s="90" t="s">
        <v>442</v>
      </c>
    </row>
    <row r="10" customFormat="false" ht="25.5" hidden="false" customHeight="true" outlineLevel="0" collapsed="false">
      <c r="A10" s="90" t="s">
        <v>443</v>
      </c>
      <c r="B10" s="90" t="s">
        <v>114</v>
      </c>
      <c r="C10" s="90" t="s">
        <v>444</v>
      </c>
      <c r="D10" s="90" t="s">
        <v>445</v>
      </c>
      <c r="E10" s="90" t="s">
        <v>415</v>
      </c>
      <c r="F10" s="90" t="s">
        <v>415</v>
      </c>
      <c r="G10" s="90" t="s">
        <v>415</v>
      </c>
      <c r="H10" s="90" t="s">
        <v>446</v>
      </c>
    </row>
    <row r="11" customFormat="false" ht="25.5" hidden="false" customHeight="true" outlineLevel="0" collapsed="false">
      <c r="A11" s="90" t="s">
        <v>447</v>
      </c>
      <c r="B11" s="90" t="s">
        <v>129</v>
      </c>
      <c r="C11" s="90" t="s">
        <v>435</v>
      </c>
      <c r="D11" s="90" t="s">
        <v>448</v>
      </c>
      <c r="E11" s="90" t="s">
        <v>415</v>
      </c>
      <c r="F11" s="90" t="s">
        <v>415</v>
      </c>
      <c r="G11" s="90" t="s">
        <v>449</v>
      </c>
      <c r="H11" s="90"/>
    </row>
    <row r="12" customFormat="false" ht="25.5" hidden="false" customHeight="true" outlineLevel="0" collapsed="false">
      <c r="A12" s="90" t="s">
        <v>450</v>
      </c>
      <c r="B12" s="90" t="s">
        <v>86</v>
      </c>
      <c r="C12" s="90" t="s">
        <v>451</v>
      </c>
      <c r="D12" s="90" t="s">
        <v>452</v>
      </c>
      <c r="E12" s="90" t="s">
        <v>421</v>
      </c>
      <c r="F12" s="90" t="s">
        <v>415</v>
      </c>
      <c r="G12" s="90" t="s">
        <v>417</v>
      </c>
      <c r="H12" s="90" t="s">
        <v>453</v>
      </c>
    </row>
    <row r="13" customFormat="false" ht="25.5" hidden="false" customHeight="true" outlineLevel="0" collapsed="false">
      <c r="A13" s="90" t="s">
        <v>454</v>
      </c>
      <c r="B13" s="90" t="s">
        <v>455</v>
      </c>
      <c r="C13" s="90" t="s">
        <v>456</v>
      </c>
      <c r="D13" s="90" t="s">
        <v>457</v>
      </c>
      <c r="E13" s="90" t="s">
        <v>458</v>
      </c>
      <c r="F13" s="90" t="s">
        <v>459</v>
      </c>
      <c r="G13" s="90" t="s">
        <v>460</v>
      </c>
      <c r="H13" s="90" t="s">
        <v>461</v>
      </c>
    </row>
    <row r="14" customFormat="false" ht="25.5" hidden="false" customHeight="true" outlineLevel="0" collapsed="false">
      <c r="A14" s="90" t="s">
        <v>462</v>
      </c>
      <c r="B14" s="90" t="s">
        <v>455</v>
      </c>
      <c r="C14" s="90" t="s">
        <v>435</v>
      </c>
      <c r="D14" s="90" t="s">
        <v>463</v>
      </c>
      <c r="E14" s="90" t="s">
        <v>420</v>
      </c>
      <c r="F14" s="90" t="s">
        <v>415</v>
      </c>
      <c r="G14" s="90" t="s">
        <v>460</v>
      </c>
      <c r="H14" s="90" t="s">
        <v>464</v>
      </c>
    </row>
    <row r="15" customFormat="false" ht="15" hidden="false" customHeight="false" outlineLevel="0" collapsed="false">
      <c r="A15" s="11"/>
      <c r="B15" s="11"/>
      <c r="C15" s="11"/>
      <c r="D15" s="11"/>
      <c r="E15" s="11"/>
      <c r="F15" s="11"/>
      <c r="G15" s="11"/>
      <c r="H15" s="11"/>
    </row>
    <row r="16" customFormat="false" ht="30" hidden="false" customHeight="true" outlineLevel="0" collapsed="false">
      <c r="A16" s="91" t="s">
        <v>465</v>
      </c>
      <c r="B16" s="91"/>
      <c r="C16" s="91"/>
      <c r="D16" s="91"/>
      <c r="E16" s="91"/>
      <c r="F16" s="91"/>
      <c r="G16" s="91"/>
      <c r="H16" s="91"/>
    </row>
  </sheetData>
  <sheetProtection sheet="true" formatColumns="false" formatRows="false" sort="false" autoFilter="false"/>
  <mergeCells count="3">
    <mergeCell ref="A1:H1"/>
    <mergeCell ref="A2:H2"/>
    <mergeCell ref="A16:H1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2026-07-16T10:26:12Z</dcterms:created>
  <dc:creator>openpyxl</dc:creator>
  <dc:description/>
  <dc:language>en-US</dc:language>
  <cp:lastModifiedBy/>
  <dcterms:modified xsi:type="dcterms:W3CDTF">2026-07-16T10:26:17Z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